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ASUS\Documents\ALCALDÍA\2024\RIESGOS\"/>
    </mc:Choice>
  </mc:AlternateContent>
  <xr:revisionPtr revIDLastSave="0" documentId="13_ncr:1_{5C706851-AB7A-4115-B099-5500F9C0D6C3}" xr6:coauthVersionLast="47" xr6:coauthVersionMax="47" xr10:uidLastSave="{00000000-0000-0000-0000-000000000000}"/>
  <bookViews>
    <workbookView xWindow="-120" yWindow="-120" windowWidth="20730" windowHeight="11160" xr2:uid="{4DB07C8B-D123-408C-89DE-80CDC86D6C81}"/>
  </bookViews>
  <sheets>
    <sheet name="Sec. General" sheetId="1" r:id="rId1"/>
    <sheet name="Sec. Bco. Progreso" sheetId="2" r:id="rId2"/>
    <sheet name="Oficina de Contaduria" sheetId="3" r:id="rId3"/>
    <sheet name="Control I.Gestión" sheetId="21" r:id="rId4"/>
    <sheet name="Control I.Disciplinario" sheetId="4" r:id="rId5"/>
    <sheet name="Infraestructura" sheetId="6" r:id="rId6"/>
    <sheet name="Valoriz y Plusvalia" sheetId="5" r:id="rId7"/>
    <sheet name="Dpto. de Planeacion" sheetId="8" r:id="rId8"/>
    <sheet name="Gestion de Riesgos y Desastres" sheetId="9" r:id="rId9"/>
    <sheet name="Gobierno" sheetId="10" r:id="rId10"/>
    <sheet name="Sec Salud" sheetId="11" r:id="rId11"/>
    <sheet name="Oficina TIC" sheetId="12" r:id="rId12"/>
    <sheet name="Sisben" sheetId="19" r:id="rId13"/>
    <sheet name="Posconflicto" sheetId="16" r:id="rId14"/>
    <sheet name="Tesoreria" sheetId="14" r:id="rId15"/>
    <sheet name="Sec. Cultura y Turismo" sheetId="15" r:id="rId16"/>
    <sheet name="Sec. Equidad de Género" sheetId="22" r:id="rId17"/>
    <sheet name="Sec. Desarrollo Social" sheetId="23" r:id="rId18"/>
    <sheet name="nnn" sheetId="13"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 i="23" l="1"/>
  <c r="R16" i="23"/>
  <c r="AC16" i="23" s="1"/>
  <c r="AB16" i="23" s="1"/>
  <c r="K16" i="23"/>
  <c r="U15" i="23"/>
  <c r="R15" i="23"/>
  <c r="L15" i="23"/>
  <c r="M15" i="23" s="1"/>
  <c r="K15" i="23"/>
  <c r="H15" i="23"/>
  <c r="N15" i="23" s="1"/>
  <c r="AC14" i="23"/>
  <c r="AB14" i="23" s="1"/>
  <c r="Z14" i="23"/>
  <c r="AD14" i="23" s="1"/>
  <c r="Y14" i="23"/>
  <c r="AA14" i="23" s="1"/>
  <c r="U14" i="23"/>
  <c r="K14" i="23"/>
  <c r="U13" i="23"/>
  <c r="R13" i="23"/>
  <c r="M13" i="23"/>
  <c r="AC13" i="23" s="1"/>
  <c r="AB13" i="23" s="1"/>
  <c r="L13" i="23"/>
  <c r="K13" i="23"/>
  <c r="H13" i="23"/>
  <c r="N13" i="23" s="1"/>
  <c r="U12" i="23"/>
  <c r="R12" i="23"/>
  <c r="AC12" i="23" s="1"/>
  <c r="AB12" i="23" s="1"/>
  <c r="K12" i="23"/>
  <c r="U11" i="23"/>
  <c r="R11" i="23"/>
  <c r="L11" i="23"/>
  <c r="M11" i="23" s="1"/>
  <c r="AC11" i="23" s="1"/>
  <c r="AB11" i="23" s="1"/>
  <c r="K11" i="23"/>
  <c r="H11" i="23"/>
  <c r="N11" i="23" s="1"/>
  <c r="U10" i="23"/>
  <c r="R10" i="23"/>
  <c r="AC10" i="23" s="1"/>
  <c r="AB10" i="23" s="1"/>
  <c r="K10" i="23"/>
  <c r="U9" i="23"/>
  <c r="R9" i="23"/>
  <c r="AC9" i="23" s="1"/>
  <c r="AB9" i="23" s="1"/>
  <c r="L9" i="23"/>
  <c r="M9" i="23" s="1"/>
  <c r="K9" i="23"/>
  <c r="H9" i="23"/>
  <c r="N9" i="23" s="1"/>
  <c r="U10" i="22"/>
  <c r="R10" i="22"/>
  <c r="AC10" i="22" s="1"/>
  <c r="AB10" i="22" s="1"/>
  <c r="K10" i="22"/>
  <c r="U9" i="22"/>
  <c r="R9" i="22"/>
  <c r="L9" i="22"/>
  <c r="M9" i="22" s="1"/>
  <c r="H9" i="22"/>
  <c r="N9" i="22" l="1"/>
  <c r="AC15" i="23"/>
  <c r="AB15" i="23" s="1"/>
  <c r="I11" i="23"/>
  <c r="Y11" i="23" s="1"/>
  <c r="Y12" i="23"/>
  <c r="I13" i="23"/>
  <c r="Y13" i="23" s="1"/>
  <c r="I9" i="23"/>
  <c r="Y9" i="23" s="1"/>
  <c r="Y10" i="23"/>
  <c r="I15" i="23"/>
  <c r="Y15" i="23" s="1"/>
  <c r="Y16" i="23"/>
  <c r="AC9" i="22"/>
  <c r="AB9" i="22" s="1"/>
  <c r="I9" i="22"/>
  <c r="Y9" i="22" s="1"/>
  <c r="Y10" i="22"/>
  <c r="AA15" i="23" l="1"/>
  <c r="Z15" i="23"/>
  <c r="AD15" i="23" s="1"/>
  <c r="Z16" i="23"/>
  <c r="AD16" i="23" s="1"/>
  <c r="AA16" i="23"/>
  <c r="AA9" i="23"/>
  <c r="Z9" i="23"/>
  <c r="AD9" i="23" s="1"/>
  <c r="AA11" i="23"/>
  <c r="Z11" i="23"/>
  <c r="AD11" i="23" s="1"/>
  <c r="Z13" i="23"/>
  <c r="AD13" i="23" s="1"/>
  <c r="AA13" i="23"/>
  <c r="Z10" i="23"/>
  <c r="AD10" i="23" s="1"/>
  <c r="AA10" i="23"/>
  <c r="AA12" i="23"/>
  <c r="Z12" i="23"/>
  <c r="AD12" i="23" s="1"/>
  <c r="AA9" i="22"/>
  <c r="Z9" i="22"/>
  <c r="AD9" i="22" s="1"/>
  <c r="Z10" i="22"/>
  <c r="AD10" i="22" s="1"/>
  <c r="AA10" i="22"/>
  <c r="U13" i="5" l="1"/>
  <c r="R13" i="5"/>
  <c r="AC13" i="5" s="1"/>
  <c r="AB13" i="5" s="1"/>
  <c r="K13" i="5"/>
  <c r="U12" i="5"/>
  <c r="R12" i="5"/>
  <c r="L12" i="5"/>
  <c r="M12" i="5" s="1"/>
  <c r="K12" i="5"/>
  <c r="U14" i="21"/>
  <c r="R14" i="21"/>
  <c r="L14" i="21"/>
  <c r="M14" i="21" s="1"/>
  <c r="K14" i="21"/>
  <c r="H14" i="21"/>
  <c r="U13" i="21"/>
  <c r="R13" i="21"/>
  <c r="L13" i="21"/>
  <c r="M13" i="21" s="1"/>
  <c r="AC13" i="21" s="1"/>
  <c r="AB13" i="21" s="1"/>
  <c r="K13" i="21"/>
  <c r="H13" i="21"/>
  <c r="N13" i="21" s="1"/>
  <c r="U12" i="21"/>
  <c r="R12" i="21"/>
  <c r="L12" i="21"/>
  <c r="M12" i="21" s="1"/>
  <c r="K12" i="21"/>
  <c r="H12" i="21"/>
  <c r="N12" i="21" s="1"/>
  <c r="U11" i="21"/>
  <c r="R11" i="21"/>
  <c r="L11" i="21"/>
  <c r="M11" i="21" s="1"/>
  <c r="AC11" i="21" s="1"/>
  <c r="AB11" i="21" s="1"/>
  <c r="K11" i="21"/>
  <c r="H11" i="21"/>
  <c r="N11" i="21" s="1"/>
  <c r="U10" i="21"/>
  <c r="R10" i="21"/>
  <c r="L10" i="21"/>
  <c r="M10" i="21" s="1"/>
  <c r="K10" i="21"/>
  <c r="H10" i="21"/>
  <c r="U9" i="21"/>
  <c r="R9" i="21"/>
  <c r="L9" i="21"/>
  <c r="M9" i="21" s="1"/>
  <c r="AC9" i="21" s="1"/>
  <c r="AB9" i="21" s="1"/>
  <c r="K9" i="21"/>
  <c r="H9" i="21"/>
  <c r="N14" i="21" l="1"/>
  <c r="N10" i="21"/>
  <c r="AC10" i="21"/>
  <c r="AB10" i="21" s="1"/>
  <c r="AC12" i="21"/>
  <c r="AB12" i="21" s="1"/>
  <c r="N9" i="21"/>
  <c r="K9" i="22"/>
  <c r="AC12" i="5"/>
  <c r="AB12" i="5" s="1"/>
  <c r="Y12" i="5"/>
  <c r="Y13" i="5"/>
  <c r="AC14" i="21"/>
  <c r="AB14" i="21" s="1"/>
  <c r="I9" i="21"/>
  <c r="Y9" i="21" s="1"/>
  <c r="I11" i="21"/>
  <c r="Y11" i="21" s="1"/>
  <c r="I13" i="21"/>
  <c r="Y13" i="21" s="1"/>
  <c r="Y12" i="21"/>
  <c r="I10" i="21"/>
  <c r="Y10" i="21" s="1"/>
  <c r="I12" i="21"/>
  <c r="I14" i="21"/>
  <c r="Y14" i="21" s="1"/>
  <c r="AA12" i="5" l="1"/>
  <c r="Z12" i="5"/>
  <c r="AD12" i="5" s="1"/>
  <c r="Z13" i="5"/>
  <c r="AD13" i="5" s="1"/>
  <c r="AA13" i="5"/>
  <c r="Z14" i="21"/>
  <c r="AD14" i="21" s="1"/>
  <c r="AA14" i="21"/>
  <c r="Z10" i="21"/>
  <c r="AD10" i="21" s="1"/>
  <c r="AA10" i="21"/>
  <c r="AA13" i="21"/>
  <c r="Z13" i="21"/>
  <c r="AD13" i="21" s="1"/>
  <c r="Z12" i="21"/>
  <c r="AD12" i="21" s="1"/>
  <c r="AA12" i="21"/>
  <c r="AA9" i="21"/>
  <c r="Z9" i="21"/>
  <c r="AD9" i="21" s="1"/>
  <c r="AA11" i="21"/>
  <c r="Z11" i="21"/>
  <c r="AD11" i="21" s="1"/>
  <c r="U28" i="21" l="1"/>
  <c r="R28" i="21"/>
  <c r="AC28" i="21" s="1"/>
  <c r="AB28" i="21" s="1"/>
  <c r="K28" i="21"/>
  <c r="U27" i="21"/>
  <c r="R27" i="21"/>
  <c r="AC27" i="21" s="1"/>
  <c r="AB27" i="21" s="1"/>
  <c r="L27" i="21"/>
  <c r="M27" i="21" s="1"/>
  <c r="K27" i="21"/>
  <c r="H27" i="21"/>
  <c r="N27" i="21" s="1"/>
  <c r="AC26" i="21"/>
  <c r="AB26" i="21" s="1"/>
  <c r="Y26" i="21"/>
  <c r="AA26" i="21" s="1"/>
  <c r="U26" i="21"/>
  <c r="R26" i="21"/>
  <c r="K26" i="21"/>
  <c r="U25" i="21"/>
  <c r="R25" i="21"/>
  <c r="AC25" i="21" s="1"/>
  <c r="AB25" i="21" s="1"/>
  <c r="N25" i="21"/>
  <c r="L25" i="21"/>
  <c r="M25" i="21" s="1"/>
  <c r="K25" i="21"/>
  <c r="I25" i="21"/>
  <c r="H25" i="21"/>
  <c r="AC24" i="21"/>
  <c r="AB24" i="21"/>
  <c r="Y24" i="21"/>
  <c r="AA24" i="21" s="1"/>
  <c r="U24" i="21"/>
  <c r="R24" i="21"/>
  <c r="K24" i="21"/>
  <c r="AC23" i="21"/>
  <c r="AB23" i="21" s="1"/>
  <c r="Y23" i="21"/>
  <c r="AA23" i="21" s="1"/>
  <c r="U23" i="21"/>
  <c r="R23" i="21"/>
  <c r="M23" i="21"/>
  <c r="L23" i="21"/>
  <c r="K23" i="21"/>
  <c r="H23" i="21"/>
  <c r="N23" i="21" s="1"/>
  <c r="U22" i="21"/>
  <c r="R22" i="21"/>
  <c r="AC22" i="21" s="1"/>
  <c r="AB22" i="21" s="1"/>
  <c r="K22" i="21"/>
  <c r="AC21" i="21"/>
  <c r="AB21" i="21"/>
  <c r="Y21" i="21"/>
  <c r="AA21" i="21" s="1"/>
  <c r="U21" i="21"/>
  <c r="R21" i="21"/>
  <c r="L21" i="21"/>
  <c r="M21" i="21" s="1"/>
  <c r="K21" i="21"/>
  <c r="H21" i="21"/>
  <c r="N21" i="21" s="1"/>
  <c r="U20" i="21"/>
  <c r="R20" i="21"/>
  <c r="AC20" i="21" s="1"/>
  <c r="AB20" i="21" s="1"/>
  <c r="K20" i="21"/>
  <c r="U19" i="21"/>
  <c r="R19" i="21"/>
  <c r="AC19" i="21" s="1"/>
  <c r="AB19" i="21" s="1"/>
  <c r="L19" i="21"/>
  <c r="M19" i="21" s="1"/>
  <c r="K19" i="21"/>
  <c r="H19" i="21"/>
  <c r="N19" i="21" s="1"/>
  <c r="AC18" i="21"/>
  <c r="AB18" i="21" s="1"/>
  <c r="Y18" i="21"/>
  <c r="AA18" i="21" s="1"/>
  <c r="U18" i="21"/>
  <c r="R18" i="21"/>
  <c r="K18" i="21"/>
  <c r="U17" i="21"/>
  <c r="R17" i="21"/>
  <c r="AC17" i="21" s="1"/>
  <c r="AB17" i="21" s="1"/>
  <c r="N17" i="21"/>
  <c r="L17" i="21"/>
  <c r="M17" i="21" s="1"/>
  <c r="K17" i="21"/>
  <c r="I17" i="21"/>
  <c r="H17" i="21"/>
  <c r="AC16" i="21"/>
  <c r="AB16" i="21"/>
  <c r="Y16" i="21"/>
  <c r="AA16" i="21" s="1"/>
  <c r="U16" i="21"/>
  <c r="R16" i="21"/>
  <c r="K16" i="21"/>
  <c r="AC15" i="21"/>
  <c r="AB15" i="21" s="1"/>
  <c r="Y15" i="21"/>
  <c r="AA15" i="21" s="1"/>
  <c r="U15" i="21"/>
  <c r="R15" i="21"/>
  <c r="M15" i="21"/>
  <c r="L15" i="21"/>
  <c r="K15" i="21"/>
  <c r="H15" i="21"/>
  <c r="N15" i="21" s="1"/>
  <c r="U24" i="19"/>
  <c r="R24" i="19"/>
  <c r="AC24" i="19" s="1"/>
  <c r="AB24" i="19" s="1"/>
  <c r="K24" i="19"/>
  <c r="AC23" i="19"/>
  <c r="AB23" i="19" s="1"/>
  <c r="Y23" i="19"/>
  <c r="AA23" i="19" s="1"/>
  <c r="U23" i="19"/>
  <c r="R23" i="19"/>
  <c r="L23" i="19"/>
  <c r="M23" i="19" s="1"/>
  <c r="K23" i="19"/>
  <c r="H23" i="19"/>
  <c r="N23" i="19" s="1"/>
  <c r="U22" i="19"/>
  <c r="R22" i="19"/>
  <c r="AC22" i="19" s="1"/>
  <c r="AB22" i="19" s="1"/>
  <c r="K22" i="19"/>
  <c r="U21" i="19"/>
  <c r="R21" i="19"/>
  <c r="AC21" i="19" s="1"/>
  <c r="AB21" i="19" s="1"/>
  <c r="L21" i="19"/>
  <c r="N21" i="19" s="1"/>
  <c r="K21" i="19"/>
  <c r="H21" i="19"/>
  <c r="I21" i="19" s="1"/>
  <c r="AC20" i="19"/>
  <c r="AB20" i="19" s="1"/>
  <c r="AD20" i="19" s="1"/>
  <c r="Z20" i="19"/>
  <c r="Y20" i="19"/>
  <c r="AA20" i="19" s="1"/>
  <c r="U20" i="19"/>
  <c r="R20" i="19"/>
  <c r="K20" i="19"/>
  <c r="U19" i="19"/>
  <c r="R19" i="19"/>
  <c r="AC19" i="19" s="1"/>
  <c r="AB19" i="19" s="1"/>
  <c r="N19" i="19"/>
  <c r="L19" i="19"/>
  <c r="M19" i="19" s="1"/>
  <c r="K19" i="19"/>
  <c r="I19" i="19"/>
  <c r="H19" i="19"/>
  <c r="AC18" i="19"/>
  <c r="AB18" i="19"/>
  <c r="Y18" i="19"/>
  <c r="AA18" i="19" s="1"/>
  <c r="U18" i="19"/>
  <c r="R18" i="19"/>
  <c r="K18" i="19"/>
  <c r="AC17" i="19"/>
  <c r="AB17" i="19" s="1"/>
  <c r="Y17" i="19"/>
  <c r="AA17" i="19" s="1"/>
  <c r="U17" i="19"/>
  <c r="R17" i="19"/>
  <c r="N17" i="19"/>
  <c r="M17" i="19"/>
  <c r="L17" i="19"/>
  <c r="K17" i="19"/>
  <c r="H17" i="19"/>
  <c r="I17" i="19" s="1"/>
  <c r="U14" i="19"/>
  <c r="R14" i="19"/>
  <c r="Y14" i="19" s="1"/>
  <c r="K14" i="19"/>
  <c r="U13" i="19"/>
  <c r="R13" i="19"/>
  <c r="L13" i="19"/>
  <c r="M13" i="19" s="1"/>
  <c r="AC13" i="19" s="1"/>
  <c r="AB13" i="19" s="1"/>
  <c r="K13" i="19"/>
  <c r="H13" i="19"/>
  <c r="I13" i="19" s="1"/>
  <c r="Y13" i="19" s="1"/>
  <c r="Y12" i="19"/>
  <c r="AA12" i="19" s="1"/>
  <c r="U12" i="19"/>
  <c r="R12" i="19"/>
  <c r="AC12" i="19" s="1"/>
  <c r="AB12" i="19" s="1"/>
  <c r="K12" i="19"/>
  <c r="U11" i="19"/>
  <c r="R11" i="19"/>
  <c r="Y11" i="19" s="1"/>
  <c r="L11" i="19"/>
  <c r="M11" i="19" s="1"/>
  <c r="K11" i="19"/>
  <c r="I11" i="19"/>
  <c r="H11" i="19"/>
  <c r="N11" i="19" s="1"/>
  <c r="U10" i="19"/>
  <c r="Y10" i="19" s="1"/>
  <c r="R10" i="19"/>
  <c r="AC10" i="19" s="1"/>
  <c r="AB10" i="19" s="1"/>
  <c r="K10" i="19"/>
  <c r="U9" i="19"/>
  <c r="R9" i="19"/>
  <c r="AC9" i="19" s="1"/>
  <c r="AB9" i="19" s="1"/>
  <c r="M9" i="19"/>
  <c r="L9" i="19"/>
  <c r="K9" i="19"/>
  <c r="H9" i="19"/>
  <c r="N9" i="19" s="1"/>
  <c r="U14" i="16"/>
  <c r="R14" i="16"/>
  <c r="Y14" i="16" s="1"/>
  <c r="K14" i="16"/>
  <c r="U13" i="16"/>
  <c r="R13" i="16"/>
  <c r="L13" i="16"/>
  <c r="M13" i="16" s="1"/>
  <c r="AC13" i="16" s="1"/>
  <c r="AB13" i="16" s="1"/>
  <c r="K13" i="16"/>
  <c r="H13" i="16"/>
  <c r="I13" i="16" s="1"/>
  <c r="U12" i="16"/>
  <c r="R12" i="16"/>
  <c r="AC12" i="16" s="1"/>
  <c r="AB12" i="16" s="1"/>
  <c r="K12" i="16"/>
  <c r="U11" i="16"/>
  <c r="R11" i="16"/>
  <c r="L11" i="16"/>
  <c r="M11" i="16" s="1"/>
  <c r="AC11" i="16" s="1"/>
  <c r="AB11" i="16" s="1"/>
  <c r="K11" i="16"/>
  <c r="H11" i="16"/>
  <c r="U10" i="16"/>
  <c r="R10" i="16"/>
  <c r="Y10" i="16" s="1"/>
  <c r="K10" i="16"/>
  <c r="U9" i="16"/>
  <c r="R9" i="16"/>
  <c r="Y9" i="16" s="1"/>
  <c r="L9" i="16"/>
  <c r="M9" i="16" s="1"/>
  <c r="K9" i="16"/>
  <c r="H9" i="16"/>
  <c r="I9" i="16" s="1"/>
  <c r="U16" i="15"/>
  <c r="R16" i="15"/>
  <c r="AC16" i="15" s="1"/>
  <c r="AB16" i="15" s="1"/>
  <c r="K16" i="15"/>
  <c r="U15" i="15"/>
  <c r="R15" i="15"/>
  <c r="L15" i="15"/>
  <c r="M15" i="15" s="1"/>
  <c r="K15" i="15"/>
  <c r="H15" i="15"/>
  <c r="N15" i="15" s="1"/>
  <c r="AC14" i="15"/>
  <c r="AB14" i="15"/>
  <c r="AA14" i="15"/>
  <c r="Y14" i="15"/>
  <c r="Z14" i="15" s="1"/>
  <c r="AD14" i="15" s="1"/>
  <c r="U14" i="15"/>
  <c r="K14" i="15"/>
  <c r="U13" i="15"/>
  <c r="R13" i="15"/>
  <c r="L13" i="15"/>
  <c r="M13" i="15" s="1"/>
  <c r="K13" i="15"/>
  <c r="H13" i="15"/>
  <c r="N13" i="15" s="1"/>
  <c r="U12" i="15"/>
  <c r="R12" i="15"/>
  <c r="AC12" i="15" s="1"/>
  <c r="AB12" i="15" s="1"/>
  <c r="K12" i="15"/>
  <c r="U11" i="15"/>
  <c r="R11" i="15"/>
  <c r="L11" i="15"/>
  <c r="M11" i="15" s="1"/>
  <c r="K11" i="15"/>
  <c r="H11" i="15"/>
  <c r="I11" i="15" s="1"/>
  <c r="U10" i="15"/>
  <c r="R10" i="15"/>
  <c r="AC10" i="15" s="1"/>
  <c r="AB10" i="15" s="1"/>
  <c r="K10" i="15"/>
  <c r="U9" i="15"/>
  <c r="R9" i="15"/>
  <c r="L9" i="15"/>
  <c r="M9" i="15" s="1"/>
  <c r="AC9" i="15" s="1"/>
  <c r="AB9" i="15" s="1"/>
  <c r="K9" i="15"/>
  <c r="H9" i="15"/>
  <c r="I9" i="15" s="1"/>
  <c r="Y9" i="15" s="1"/>
  <c r="N13" i="16" l="1"/>
  <c r="N11" i="16"/>
  <c r="Y12" i="16"/>
  <c r="Y11" i="16"/>
  <c r="Z11" i="16" s="1"/>
  <c r="AD11" i="16" s="1"/>
  <c r="I11" i="16"/>
  <c r="AC14" i="16"/>
  <c r="AB14" i="16" s="1"/>
  <c r="AC15" i="15"/>
  <c r="AB15" i="15" s="1"/>
  <c r="N11" i="15"/>
  <c r="Y10" i="15"/>
  <c r="AA10" i="15" s="1"/>
  <c r="AC11" i="15"/>
  <c r="AB11" i="15" s="1"/>
  <c r="Y16" i="15"/>
  <c r="AA16" i="15" s="1"/>
  <c r="Y12" i="15"/>
  <c r="AA12" i="15" s="1"/>
  <c r="I15" i="21"/>
  <c r="Z15" i="21"/>
  <c r="AD15" i="21" s="1"/>
  <c r="Z18" i="21"/>
  <c r="AD18" i="21" s="1"/>
  <c r="I23" i="21"/>
  <c r="Z23" i="21"/>
  <c r="AD23" i="21" s="1"/>
  <c r="Z26" i="21"/>
  <c r="AD26" i="21" s="1"/>
  <c r="Z16" i="21"/>
  <c r="AD16" i="21" s="1"/>
  <c r="Y19" i="21"/>
  <c r="I21" i="21"/>
  <c r="Z21" i="21"/>
  <c r="AD21" i="21" s="1"/>
  <c r="Y22" i="21"/>
  <c r="Z24" i="21"/>
  <c r="AD24" i="21" s="1"/>
  <c r="Y27" i="21"/>
  <c r="Y17" i="21"/>
  <c r="I19" i="21"/>
  <c r="Y20" i="21"/>
  <c r="Y25" i="21"/>
  <c r="I27" i="21"/>
  <c r="Y28" i="21"/>
  <c r="Z14" i="19"/>
  <c r="AA14" i="19"/>
  <c r="AA13" i="19"/>
  <c r="Z13" i="19"/>
  <c r="AD13" i="19" s="1"/>
  <c r="Z11" i="19"/>
  <c r="AD11" i="19" s="1"/>
  <c r="AA11" i="19"/>
  <c r="Z10" i="19"/>
  <c r="AD10" i="19" s="1"/>
  <c r="AA10" i="19"/>
  <c r="Z12" i="19"/>
  <c r="AD12" i="19" s="1"/>
  <c r="AC11" i="19"/>
  <c r="AB11" i="19" s="1"/>
  <c r="N13" i="19"/>
  <c r="AC14" i="19"/>
  <c r="AB14" i="19" s="1"/>
  <c r="Y21" i="19"/>
  <c r="I23" i="19"/>
  <c r="Z23" i="19"/>
  <c r="AD23" i="19" s="1"/>
  <c r="Y24" i="19"/>
  <c r="I9" i="19"/>
  <c r="Y9" i="19" s="1"/>
  <c r="Y19" i="19"/>
  <c r="Y22" i="19"/>
  <c r="Z17" i="19"/>
  <c r="AD17" i="19" s="1"/>
  <c r="Z18" i="19"/>
  <c r="AD18" i="19" s="1"/>
  <c r="M21" i="19"/>
  <c r="Z9" i="16"/>
  <c r="AA9" i="16"/>
  <c r="AA11" i="16"/>
  <c r="Y13" i="16"/>
  <c r="AA10" i="16"/>
  <c r="Z10" i="16"/>
  <c r="AA14" i="16"/>
  <c r="Z14" i="16"/>
  <c r="AD14" i="16" s="1"/>
  <c r="AC9" i="16"/>
  <c r="AB9" i="16" s="1"/>
  <c r="N9" i="16"/>
  <c r="AC10" i="16"/>
  <c r="AB10" i="16" s="1"/>
  <c r="AC13" i="15"/>
  <c r="AB13" i="15" s="1"/>
  <c r="AA9" i="15"/>
  <c r="Z9" i="15"/>
  <c r="AD9" i="15" s="1"/>
  <c r="N9" i="15"/>
  <c r="Z16" i="15"/>
  <c r="AD16" i="15" s="1"/>
  <c r="Y11" i="15"/>
  <c r="I13" i="15"/>
  <c r="Y13" i="15" s="1"/>
  <c r="I15" i="15"/>
  <c r="Y15" i="15" s="1"/>
  <c r="Z12" i="15"/>
  <c r="AD12" i="15" s="1"/>
  <c r="Z10" i="15"/>
  <c r="AD10" i="15" s="1"/>
  <c r="Z12" i="16" l="1"/>
  <c r="AD12" i="16" s="1"/>
  <c r="AA12" i="16"/>
  <c r="AD9" i="16"/>
  <c r="AD10" i="16"/>
  <c r="Z28" i="21"/>
  <c r="AD28" i="21" s="1"/>
  <c r="AA28" i="21"/>
  <c r="AA17" i="21"/>
  <c r="Z17" i="21"/>
  <c r="AD17" i="21" s="1"/>
  <c r="Z22" i="21"/>
  <c r="AD22" i="21" s="1"/>
  <c r="AA22" i="21"/>
  <c r="AA25" i="21"/>
  <c r="Z25" i="21"/>
  <c r="AD25" i="21" s="1"/>
  <c r="AA20" i="21"/>
  <c r="Z20" i="21"/>
  <c r="AD20" i="21" s="1"/>
  <c r="Z27" i="21"/>
  <c r="AD27" i="21" s="1"/>
  <c r="AA27" i="21"/>
  <c r="Z19" i="21"/>
  <c r="AD19" i="21" s="1"/>
  <c r="AA19" i="21"/>
  <c r="AA24" i="19"/>
  <c r="Z24" i="19"/>
  <c r="AD24" i="19" s="1"/>
  <c r="AA22" i="19"/>
  <c r="Z22" i="19"/>
  <c r="AD22" i="19" s="1"/>
  <c r="AA19" i="19"/>
  <c r="Z19" i="19"/>
  <c r="AD19" i="19" s="1"/>
  <c r="AA21" i="19"/>
  <c r="Z21" i="19"/>
  <c r="AD21" i="19" s="1"/>
  <c r="AA9" i="19"/>
  <c r="Z9" i="19"/>
  <c r="AD9" i="19" s="1"/>
  <c r="AD14" i="19"/>
  <c r="AA13" i="16"/>
  <c r="Z13" i="16"/>
  <c r="AD13" i="16" s="1"/>
  <c r="AA13" i="15"/>
  <c r="Z13" i="15"/>
  <c r="AD13" i="15" s="1"/>
  <c r="AA11" i="15"/>
  <c r="Z11" i="15"/>
  <c r="AD11" i="15" s="1"/>
  <c r="Z15" i="15"/>
  <c r="AD15" i="15" s="1"/>
  <c r="AA15" i="15"/>
  <c r="U18" i="14" l="1"/>
  <c r="R18" i="14"/>
  <c r="AC18" i="14" s="1"/>
  <c r="AB18" i="14" s="1"/>
  <c r="K18" i="14"/>
  <c r="U17" i="14"/>
  <c r="R17" i="14"/>
  <c r="L17" i="14"/>
  <c r="M17" i="14" s="1"/>
  <c r="K17" i="14"/>
  <c r="H17" i="14"/>
  <c r="I17" i="14" s="1"/>
  <c r="U16" i="14"/>
  <c r="Y16" i="14" s="1"/>
  <c r="AA16" i="14" s="1"/>
  <c r="R16" i="14"/>
  <c r="AC16" i="14" s="1"/>
  <c r="AB16" i="14" s="1"/>
  <c r="K16" i="14"/>
  <c r="U15" i="14"/>
  <c r="R15" i="14"/>
  <c r="L15" i="14"/>
  <c r="M15" i="14" s="1"/>
  <c r="K15" i="14"/>
  <c r="H15" i="14"/>
  <c r="AC14" i="14"/>
  <c r="AB14" i="14" s="1"/>
  <c r="Y14" i="14"/>
  <c r="AA14" i="14" s="1"/>
  <c r="U14" i="14"/>
  <c r="K14" i="14"/>
  <c r="U13" i="14"/>
  <c r="R13" i="14"/>
  <c r="L13" i="14"/>
  <c r="M13" i="14" s="1"/>
  <c r="K13" i="14"/>
  <c r="H13" i="14"/>
  <c r="I13" i="14" s="1"/>
  <c r="U12" i="14"/>
  <c r="R12" i="14"/>
  <c r="Y12" i="14" s="1"/>
  <c r="K12" i="14"/>
  <c r="U11" i="14"/>
  <c r="R11" i="14"/>
  <c r="L11" i="14"/>
  <c r="M11" i="14" s="1"/>
  <c r="AC11" i="14" s="1"/>
  <c r="AB11" i="14" s="1"/>
  <c r="K11" i="14"/>
  <c r="H11" i="14"/>
  <c r="Y10" i="14"/>
  <c r="Z10" i="14" s="1"/>
  <c r="U10" i="14"/>
  <c r="R10" i="14"/>
  <c r="AC10" i="14" s="1"/>
  <c r="AB10" i="14" s="1"/>
  <c r="K10" i="14"/>
  <c r="U9" i="14"/>
  <c r="R9" i="14"/>
  <c r="L9" i="14"/>
  <c r="M9" i="14" s="1"/>
  <c r="AC9" i="14" s="1"/>
  <c r="AB9" i="14" s="1"/>
  <c r="K9" i="14"/>
  <c r="H9" i="14"/>
  <c r="I9" i="14" s="1"/>
  <c r="N15" i="14" l="1"/>
  <c r="N11" i="14"/>
  <c r="AC12" i="14"/>
  <c r="AB12" i="14" s="1"/>
  <c r="Y17" i="14"/>
  <c r="Y18" i="14"/>
  <c r="AD10" i="14"/>
  <c r="AA10" i="14"/>
  <c r="I11" i="14"/>
  <c r="Y11" i="14" s="1"/>
  <c r="AC13" i="14"/>
  <c r="AB13" i="14" s="1"/>
  <c r="N13" i="14"/>
  <c r="AC17" i="14"/>
  <c r="AB17" i="14" s="1"/>
  <c r="AC15" i="14"/>
  <c r="AB15" i="14" s="1"/>
  <c r="Y9" i="14"/>
  <c r="AA12" i="14"/>
  <c r="Z12" i="14"/>
  <c r="AD12" i="14" s="1"/>
  <c r="Z17" i="14"/>
  <c r="AD17" i="14" s="1"/>
  <c r="AA17" i="14"/>
  <c r="N9" i="14"/>
  <c r="I15" i="14"/>
  <c r="Y15" i="14" s="1"/>
  <c r="Z16" i="14"/>
  <c r="AD16" i="14" s="1"/>
  <c r="Y13" i="14"/>
  <c r="Z14" i="14"/>
  <c r="AD14" i="14" s="1"/>
  <c r="N17" i="14"/>
  <c r="AA18" i="14" l="1"/>
  <c r="Z18" i="14"/>
  <c r="AD18" i="14" s="1"/>
  <c r="AA11" i="14"/>
  <c r="Z11" i="14"/>
  <c r="AD11" i="14" s="1"/>
  <c r="AA13" i="14"/>
  <c r="Z13" i="14"/>
  <c r="AD13" i="14" s="1"/>
  <c r="AA9" i="14"/>
  <c r="Z9" i="14"/>
  <c r="AD9" i="14" s="1"/>
  <c r="AA15" i="14"/>
  <c r="Z15" i="14"/>
  <c r="AD15" i="14" s="1"/>
  <c r="U14" i="8" l="1"/>
  <c r="R14" i="8"/>
  <c r="AC14" i="8" s="1"/>
  <c r="AB14" i="8" s="1"/>
  <c r="K14" i="8"/>
  <c r="U13" i="8"/>
  <c r="R13" i="8"/>
  <c r="K13" i="8"/>
  <c r="L13" i="8" s="1"/>
  <c r="M13" i="8" s="1"/>
  <c r="H13" i="8"/>
  <c r="AC12" i="8"/>
  <c r="AB12" i="8" s="1"/>
  <c r="Y12" i="8"/>
  <c r="AA12" i="8" s="1"/>
  <c r="U12" i="8"/>
  <c r="R12" i="8"/>
  <c r="K12" i="8"/>
  <c r="U11" i="8"/>
  <c r="R11" i="8"/>
  <c r="K11" i="8"/>
  <c r="L11" i="8" s="1"/>
  <c r="I11" i="8"/>
  <c r="H11" i="8"/>
  <c r="H15" i="8"/>
  <c r="N15" i="8" s="1"/>
  <c r="K15" i="8"/>
  <c r="L15" i="8"/>
  <c r="M15" i="8" s="1"/>
  <c r="R15" i="8"/>
  <c r="Y15" i="8" s="1"/>
  <c r="U15" i="8"/>
  <c r="AC15" i="8"/>
  <c r="AB15" i="8" s="1"/>
  <c r="K16" i="8"/>
  <c r="R16" i="8"/>
  <c r="U16" i="8"/>
  <c r="Y16" i="8"/>
  <c r="AA16" i="8" s="1"/>
  <c r="AB16" i="8"/>
  <c r="AC16" i="8"/>
  <c r="H17" i="8"/>
  <c r="I17" i="8"/>
  <c r="K17" i="8"/>
  <c r="L17" i="8"/>
  <c r="M17" i="8" s="1"/>
  <c r="R17" i="8"/>
  <c r="AC17" i="8" s="1"/>
  <c r="AB17" i="8" s="1"/>
  <c r="U17" i="8"/>
  <c r="K18" i="8"/>
  <c r="R18" i="8"/>
  <c r="Y18" i="8" s="1"/>
  <c r="U18" i="8"/>
  <c r="AC18" i="8"/>
  <c r="AB18" i="8" s="1"/>
  <c r="H19" i="8"/>
  <c r="N19" i="8" s="1"/>
  <c r="K19" i="8"/>
  <c r="L19" i="8"/>
  <c r="M19" i="8" s="1"/>
  <c r="R19" i="8"/>
  <c r="Y19" i="8" s="1"/>
  <c r="U19" i="8"/>
  <c r="K20" i="8"/>
  <c r="R20" i="8"/>
  <c r="AC20" i="8" s="1"/>
  <c r="AB20" i="8" s="1"/>
  <c r="U20" i="8"/>
  <c r="H21" i="8"/>
  <c r="N21" i="8" s="1"/>
  <c r="K21" i="8"/>
  <c r="L21" i="8"/>
  <c r="M21" i="8" s="1"/>
  <c r="R21" i="8"/>
  <c r="U21" i="8"/>
  <c r="Y21" i="8"/>
  <c r="AA21" i="8" s="1"/>
  <c r="Z21" i="8"/>
  <c r="AD21" i="8" s="1"/>
  <c r="AC21" i="8"/>
  <c r="AB21" i="8" s="1"/>
  <c r="K22" i="8"/>
  <c r="R22" i="8"/>
  <c r="Y22" i="8" s="1"/>
  <c r="U22" i="8"/>
  <c r="H23" i="8"/>
  <c r="I23" i="8" s="1"/>
  <c r="K23" i="8"/>
  <c r="L23" i="8"/>
  <c r="M23" i="8"/>
  <c r="R23" i="8"/>
  <c r="U23" i="8"/>
  <c r="Y23" i="8"/>
  <c r="Z23" i="8" s="1"/>
  <c r="AC23" i="8"/>
  <c r="AB23" i="8" s="1"/>
  <c r="K24" i="8"/>
  <c r="R24" i="8"/>
  <c r="U24" i="8"/>
  <c r="Y24" i="8"/>
  <c r="AA24" i="8" s="1"/>
  <c r="Z24" i="8"/>
  <c r="AC24" i="8"/>
  <c r="AB24" i="8" s="1"/>
  <c r="H25" i="8"/>
  <c r="I25" i="8" s="1"/>
  <c r="K25" i="8"/>
  <c r="L25" i="8"/>
  <c r="M25" i="8" s="1"/>
  <c r="R25" i="8"/>
  <c r="Y25" i="8" s="1"/>
  <c r="U25" i="8"/>
  <c r="K26" i="8"/>
  <c r="R26" i="8"/>
  <c r="AC26" i="8" s="1"/>
  <c r="AB26" i="8" s="1"/>
  <c r="U26" i="8"/>
  <c r="Y26" i="8"/>
  <c r="Z26" i="8" s="1"/>
  <c r="AD26" i="8" s="1"/>
  <c r="H27" i="8"/>
  <c r="I27" i="8" s="1"/>
  <c r="K27" i="8"/>
  <c r="L27" i="8"/>
  <c r="M27" i="8"/>
  <c r="R27" i="8"/>
  <c r="U27" i="8"/>
  <c r="Y27" i="8"/>
  <c r="Z27" i="8" s="1"/>
  <c r="AC27" i="8"/>
  <c r="AB27" i="8" s="1"/>
  <c r="K28" i="8"/>
  <c r="R28" i="8"/>
  <c r="Y28" i="8" s="1"/>
  <c r="U28" i="8"/>
  <c r="U21" i="12"/>
  <c r="R21" i="12"/>
  <c r="AC21" i="12" s="1"/>
  <c r="AB21" i="12" s="1"/>
  <c r="K21" i="12"/>
  <c r="U20" i="12"/>
  <c r="R20" i="12"/>
  <c r="AC20" i="12" s="1"/>
  <c r="AB20" i="12" s="1"/>
  <c r="L20" i="12"/>
  <c r="M20" i="12" s="1"/>
  <c r="K20" i="12"/>
  <c r="H20" i="12"/>
  <c r="I20" i="12" s="1"/>
  <c r="AC19" i="12"/>
  <c r="AB19" i="12"/>
  <c r="Y19" i="12"/>
  <c r="AA19" i="12" s="1"/>
  <c r="U19" i="12"/>
  <c r="R19" i="12"/>
  <c r="K19" i="12"/>
  <c r="U18" i="12"/>
  <c r="R18" i="12"/>
  <c r="AC18" i="12" s="1"/>
  <c r="AB18" i="12" s="1"/>
  <c r="L18" i="12"/>
  <c r="M18" i="12" s="1"/>
  <c r="K18" i="12"/>
  <c r="H18" i="12"/>
  <c r="AC17" i="12"/>
  <c r="AB17" i="12" s="1"/>
  <c r="U17" i="12"/>
  <c r="R17" i="12"/>
  <c r="Y17" i="12" s="1"/>
  <c r="K17" i="12"/>
  <c r="AC16" i="12"/>
  <c r="AB16" i="12" s="1"/>
  <c r="Y16" i="12"/>
  <c r="AA16" i="12" s="1"/>
  <c r="U16" i="12"/>
  <c r="R16" i="12"/>
  <c r="L16" i="12"/>
  <c r="M16" i="12" s="1"/>
  <c r="K16" i="12"/>
  <c r="H16" i="12"/>
  <c r="I16" i="12" s="1"/>
  <c r="U15" i="12"/>
  <c r="R15" i="12"/>
  <c r="L15" i="12"/>
  <c r="K15" i="12"/>
  <c r="H15" i="12"/>
  <c r="I15" i="12" s="1"/>
  <c r="U14" i="12"/>
  <c r="R14" i="12"/>
  <c r="L14" i="12"/>
  <c r="M14" i="12" s="1"/>
  <c r="AC14" i="12" s="1"/>
  <c r="AB14" i="12" s="1"/>
  <c r="K14" i="12"/>
  <c r="H14" i="12"/>
  <c r="N14" i="12" s="1"/>
  <c r="U13" i="12"/>
  <c r="R13" i="12"/>
  <c r="L13" i="12"/>
  <c r="M13" i="12" s="1"/>
  <c r="K13" i="12"/>
  <c r="H13" i="12"/>
  <c r="I13" i="12" s="1"/>
  <c r="AC12" i="12"/>
  <c r="AB12" i="12"/>
  <c r="U12" i="12"/>
  <c r="R12" i="12"/>
  <c r="Y12" i="12" s="1"/>
  <c r="K12" i="12"/>
  <c r="U11" i="12"/>
  <c r="R11" i="12"/>
  <c r="L11" i="12"/>
  <c r="N11" i="12" s="1"/>
  <c r="K11" i="12"/>
  <c r="H11" i="12"/>
  <c r="I11" i="12" s="1"/>
  <c r="AC10" i="12"/>
  <c r="AB10" i="12"/>
  <c r="U10" i="12"/>
  <c r="R10" i="12"/>
  <c r="Y10" i="12" s="1"/>
  <c r="K10" i="12"/>
  <c r="U9" i="12"/>
  <c r="R9" i="12"/>
  <c r="L9" i="12"/>
  <c r="K9" i="12"/>
  <c r="H9" i="12"/>
  <c r="I9" i="12" s="1"/>
  <c r="U13" i="11"/>
  <c r="R13" i="11"/>
  <c r="AC13" i="11" s="1"/>
  <c r="AB13" i="11" s="1"/>
  <c r="K13" i="11"/>
  <c r="U12" i="11"/>
  <c r="R12" i="11"/>
  <c r="L12" i="11"/>
  <c r="M12" i="11" s="1"/>
  <c r="K12" i="11"/>
  <c r="H12" i="11"/>
  <c r="I12" i="11" s="1"/>
  <c r="AC11" i="11"/>
  <c r="AB11" i="11" s="1"/>
  <c r="U11" i="11"/>
  <c r="Y11" i="11" s="1"/>
  <c r="U10" i="11"/>
  <c r="R10" i="11"/>
  <c r="AC10" i="11" s="1"/>
  <c r="AB10" i="11" s="1"/>
  <c r="U9" i="11"/>
  <c r="R9" i="11"/>
  <c r="L9" i="11"/>
  <c r="M9" i="11" s="1"/>
  <c r="K9" i="11"/>
  <c r="H9" i="11"/>
  <c r="Y10" i="11" l="1"/>
  <c r="Z10" i="11" s="1"/>
  <c r="AD10" i="11" s="1"/>
  <c r="Y12" i="11"/>
  <c r="AA12" i="11" s="1"/>
  <c r="N9" i="11"/>
  <c r="N12" i="11"/>
  <c r="Y13" i="11"/>
  <c r="AA13" i="11" s="1"/>
  <c r="N16" i="12"/>
  <c r="AA27" i="8"/>
  <c r="I21" i="8"/>
  <c r="N17" i="8"/>
  <c r="N9" i="12"/>
  <c r="I15" i="8"/>
  <c r="M11" i="8"/>
  <c r="N11" i="8"/>
  <c r="N13" i="8"/>
  <c r="AC13" i="8"/>
  <c r="AB13" i="8" s="1"/>
  <c r="AC11" i="8"/>
  <c r="AB11" i="8" s="1"/>
  <c r="Y11" i="8"/>
  <c r="I13" i="8"/>
  <c r="Y13" i="8" s="1"/>
  <c r="Y14" i="8"/>
  <c r="Z12" i="8"/>
  <c r="AD12" i="8" s="1"/>
  <c r="Z25" i="8"/>
  <c r="AA25" i="8"/>
  <c r="Z15" i="8"/>
  <c r="AD15" i="8" s="1"/>
  <c r="AA15" i="8"/>
  <c r="AD27" i="8"/>
  <c r="AD23" i="8"/>
  <c r="Z22" i="8"/>
  <c r="AA22" i="8"/>
  <c r="Z19" i="8"/>
  <c r="AA19" i="8"/>
  <c r="Z28" i="8"/>
  <c r="AA28" i="8"/>
  <c r="Z18" i="8"/>
  <c r="AD18" i="8" s="1"/>
  <c r="AA18" i="8"/>
  <c r="AD24" i="8"/>
  <c r="AC22" i="8"/>
  <c r="AB22" i="8" s="1"/>
  <c r="AC19" i="8"/>
  <c r="AB19" i="8" s="1"/>
  <c r="Z16" i="8"/>
  <c r="AD16" i="8" s="1"/>
  <c r="N25" i="8"/>
  <c r="N23" i="8"/>
  <c r="AC28" i="8"/>
  <c r="AB28" i="8" s="1"/>
  <c r="N27" i="8"/>
  <c r="AC25" i="8"/>
  <c r="AB25" i="8" s="1"/>
  <c r="Y20" i="8"/>
  <c r="I19" i="8"/>
  <c r="Y17" i="8"/>
  <c r="AA26" i="8"/>
  <c r="AA23" i="8"/>
  <c r="M11" i="12"/>
  <c r="AC11" i="12" s="1"/>
  <c r="AB11" i="12" s="1"/>
  <c r="I14" i="12"/>
  <c r="Y14" i="12" s="1"/>
  <c r="Z14" i="12" s="1"/>
  <c r="AD14" i="12" s="1"/>
  <c r="N15" i="12"/>
  <c r="N18" i="12"/>
  <c r="N20" i="12"/>
  <c r="Y15" i="12"/>
  <c r="Z15" i="12" s="1"/>
  <c r="N13" i="12"/>
  <c r="AA12" i="12"/>
  <c r="Z12" i="12"/>
  <c r="AD12" i="12" s="1"/>
  <c r="AC13" i="12"/>
  <c r="AB13" i="12" s="1"/>
  <c r="AA17" i="12"/>
  <c r="Z17" i="12"/>
  <c r="AD17" i="12" s="1"/>
  <c r="Y9" i="12"/>
  <c r="Z10" i="12"/>
  <c r="AD10" i="12" s="1"/>
  <c r="AA10" i="12"/>
  <c r="Y11" i="12"/>
  <c r="Y13" i="12"/>
  <c r="M15" i="12"/>
  <c r="AC15" i="12" s="1"/>
  <c r="AB15" i="12" s="1"/>
  <c r="Y20" i="12"/>
  <c r="M9" i="12"/>
  <c r="AC9" i="12" s="1"/>
  <c r="AB9" i="12" s="1"/>
  <c r="Y18" i="12"/>
  <c r="Y21" i="12"/>
  <c r="I18" i="12"/>
  <c r="Z16" i="12"/>
  <c r="AD16" i="12" s="1"/>
  <c r="Z19" i="12"/>
  <c r="AD19" i="12" s="1"/>
  <c r="AA11" i="11"/>
  <c r="Z11" i="11"/>
  <c r="AD11" i="11" s="1"/>
  <c r="AC9" i="11"/>
  <c r="AB9" i="11" s="1"/>
  <c r="AC12" i="11"/>
  <c r="AB12" i="11" s="1"/>
  <c r="I9" i="11"/>
  <c r="Y9" i="11" s="1"/>
  <c r="AA10" i="11" l="1"/>
  <c r="Z12" i="11"/>
  <c r="AD12" i="11" s="1"/>
  <c r="Z13" i="11"/>
  <c r="AD13" i="11" s="1"/>
  <c r="AA13" i="8"/>
  <c r="Z13" i="8"/>
  <c r="AD13" i="8" s="1"/>
  <c r="AA11" i="8"/>
  <c r="Z11" i="8"/>
  <c r="AD11" i="8" s="1"/>
  <c r="Z14" i="8"/>
  <c r="AD14" i="8" s="1"/>
  <c r="AA14" i="8"/>
  <c r="AA17" i="8"/>
  <c r="Z17" i="8"/>
  <c r="AD17" i="8" s="1"/>
  <c r="AD28" i="8"/>
  <c r="AA20" i="8"/>
  <c r="Z20" i="8"/>
  <c r="AD20" i="8" s="1"/>
  <c r="AD19" i="8"/>
  <c r="AD22" i="8"/>
  <c r="AD25" i="8"/>
  <c r="AA15" i="12"/>
  <c r="AA14" i="12"/>
  <c r="AA18" i="12"/>
  <c r="Z18" i="12"/>
  <c r="AD18" i="12" s="1"/>
  <c r="AA20" i="12"/>
  <c r="Z20" i="12"/>
  <c r="AD20" i="12" s="1"/>
  <c r="Z13" i="12"/>
  <c r="AD13" i="12" s="1"/>
  <c r="AA13" i="12"/>
  <c r="AA9" i="12"/>
  <c r="Z9" i="12"/>
  <c r="AD9" i="12" s="1"/>
  <c r="AA11" i="12"/>
  <c r="Z11" i="12"/>
  <c r="AD11" i="12" s="1"/>
  <c r="AA21" i="12"/>
  <c r="Z21" i="12"/>
  <c r="AD21" i="12" s="1"/>
  <c r="AD15" i="12"/>
  <c r="Z9" i="11"/>
  <c r="AD9" i="11" s="1"/>
  <c r="AA9" i="11"/>
  <c r="U10" i="10" l="1"/>
  <c r="K10" i="10"/>
  <c r="U9" i="10"/>
  <c r="K9" i="10"/>
  <c r="L9" i="10" s="1"/>
  <c r="M9" i="10" s="1"/>
  <c r="AC9" i="10" s="1"/>
  <c r="H9" i="10"/>
  <c r="I9" i="10" s="1"/>
  <c r="Y9" i="10" s="1"/>
  <c r="AA9" i="10" l="1"/>
  <c r="Y10" i="10" s="1"/>
  <c r="Z9" i="10"/>
  <c r="AB9" i="10"/>
  <c r="AC10" i="10"/>
  <c r="AB10" i="10" s="1"/>
  <c r="N9" i="10"/>
  <c r="AA10" i="10" l="1"/>
  <c r="Z10" i="10"/>
  <c r="AD10" i="10" s="1"/>
  <c r="AD9" i="10"/>
  <c r="K12" i="9" l="1"/>
  <c r="U12" i="9"/>
  <c r="R12" i="9"/>
  <c r="Y12" i="9" s="1"/>
  <c r="U11" i="9"/>
  <c r="R11" i="9"/>
  <c r="L11" i="9"/>
  <c r="M11" i="9" s="1"/>
  <c r="K11" i="9"/>
  <c r="H11" i="9"/>
  <c r="I11" i="9" s="1"/>
  <c r="E11" i="9"/>
  <c r="U10" i="9"/>
  <c r="R10" i="9"/>
  <c r="Y10" i="9" s="1"/>
  <c r="K10" i="9"/>
  <c r="U9" i="9"/>
  <c r="R9" i="9"/>
  <c r="L9" i="9"/>
  <c r="M9" i="9" s="1"/>
  <c r="K9" i="9"/>
  <c r="H9" i="9"/>
  <c r="I9" i="9" s="1"/>
  <c r="E9" i="9"/>
  <c r="Y11" i="9" l="1"/>
  <c r="AA11" i="9" s="1"/>
  <c r="AC12" i="9"/>
  <c r="AB12" i="9" s="1"/>
  <c r="AC9" i="9"/>
  <c r="AB9" i="9" s="1"/>
  <c r="Y9" i="9"/>
  <c r="AA9" i="9" s="1"/>
  <c r="N11" i="9"/>
  <c r="AA12" i="9"/>
  <c r="Z12" i="9"/>
  <c r="AA10" i="9"/>
  <c r="Z10" i="9"/>
  <c r="AC11" i="9"/>
  <c r="AB11" i="9" s="1"/>
  <c r="Z11" i="9"/>
  <c r="N9" i="9"/>
  <c r="AC10" i="9"/>
  <c r="AB10" i="9" s="1"/>
  <c r="AD12" i="9" l="1"/>
  <c r="Z9" i="9"/>
  <c r="AD9" i="9" s="1"/>
  <c r="AD11" i="9"/>
  <c r="AD10" i="9"/>
  <c r="AC10" i="8" l="1"/>
  <c r="AB10" i="8"/>
  <c r="U10" i="8"/>
  <c r="R10" i="8"/>
  <c r="Y10" i="8" s="1"/>
  <c r="K10" i="8"/>
  <c r="U9" i="8"/>
  <c r="R9" i="8"/>
  <c r="L9" i="8"/>
  <c r="K9" i="8"/>
  <c r="H9" i="8"/>
  <c r="I9" i="8" s="1"/>
  <c r="Y9" i="8" s="1"/>
  <c r="N9" i="8" l="1"/>
  <c r="Z9" i="8"/>
  <c r="AA9" i="8"/>
  <c r="Z10" i="8"/>
  <c r="AD10" i="8" s="1"/>
  <c r="AA10" i="8"/>
  <c r="M9" i="8"/>
  <c r="AC9" i="8" s="1"/>
  <c r="AB9" i="8" s="1"/>
  <c r="AD9" i="8" l="1"/>
  <c r="U12" i="6" l="1"/>
  <c r="R12" i="6"/>
  <c r="L12" i="6"/>
  <c r="H12" i="6"/>
  <c r="I12" i="6" s="1"/>
  <c r="U10" i="6"/>
  <c r="R10" i="6"/>
  <c r="Y10" i="6" s="1"/>
  <c r="L10" i="6"/>
  <c r="H10" i="6"/>
  <c r="I10" i="6" s="1"/>
  <c r="U9" i="6"/>
  <c r="R9" i="6"/>
  <c r="L9" i="6"/>
  <c r="M9" i="6" s="1"/>
  <c r="K9" i="6"/>
  <c r="H9" i="6"/>
  <c r="Y12" i="6" l="1"/>
  <c r="Z12" i="6" s="1"/>
  <c r="N10" i="6"/>
  <c r="N9" i="6"/>
  <c r="AC9" i="6"/>
  <c r="AB9" i="6" s="1"/>
  <c r="N12" i="6"/>
  <c r="AA12" i="6"/>
  <c r="AA10" i="6"/>
  <c r="Z10" i="6"/>
  <c r="Y9" i="6"/>
  <c r="M12" i="6"/>
  <c r="AC12" i="6"/>
  <c r="AB12" i="6" s="1"/>
  <c r="M10" i="6"/>
  <c r="AC10" i="6"/>
  <c r="AB10" i="6" s="1"/>
  <c r="AD12" i="6" l="1"/>
  <c r="AD10" i="6"/>
  <c r="Z9" i="6"/>
  <c r="AD9" i="6" s="1"/>
  <c r="AA9" i="6"/>
  <c r="K12" i="6" l="1"/>
  <c r="K10" i="6"/>
  <c r="U15" i="5" l="1"/>
  <c r="R15" i="5"/>
  <c r="AC15" i="5" s="1"/>
  <c r="AB15" i="5" s="1"/>
  <c r="K15" i="5"/>
  <c r="U14" i="5"/>
  <c r="R14" i="5"/>
  <c r="L14" i="5"/>
  <c r="M14" i="5" s="1"/>
  <c r="K14" i="5"/>
  <c r="H14" i="5"/>
  <c r="U11" i="5"/>
  <c r="R11" i="5"/>
  <c r="AC11" i="5" s="1"/>
  <c r="AB11" i="5" s="1"/>
  <c r="K11" i="5"/>
  <c r="U10" i="5"/>
  <c r="R10" i="5"/>
  <c r="L10" i="5"/>
  <c r="M10" i="5" s="1"/>
  <c r="K10" i="5"/>
  <c r="H10" i="5"/>
  <c r="I10" i="5" s="1"/>
  <c r="U9" i="5"/>
  <c r="R9" i="5"/>
  <c r="L9" i="5"/>
  <c r="M9" i="5" s="1"/>
  <c r="K9" i="5"/>
  <c r="H9" i="5"/>
  <c r="I9" i="5" s="1"/>
  <c r="AC9" i="5" l="1"/>
  <c r="AB9" i="5" s="1"/>
  <c r="N14" i="5"/>
  <c r="N9" i="5"/>
  <c r="N10" i="5"/>
  <c r="AC10" i="5"/>
  <c r="AB10" i="5" s="1"/>
  <c r="AC14" i="5"/>
  <c r="AB14" i="5" s="1"/>
  <c r="Y9" i="5"/>
  <c r="Y10" i="5"/>
  <c r="I14" i="5"/>
  <c r="Y14" i="5" s="1"/>
  <c r="Y15" i="5"/>
  <c r="Y11" i="5"/>
  <c r="Z11" i="5" l="1"/>
  <c r="AD11" i="5" s="1"/>
  <c r="AA11" i="5"/>
  <c r="AA15" i="5"/>
  <c r="Z15" i="5"/>
  <c r="AD15" i="5" s="1"/>
  <c r="AA14" i="5"/>
  <c r="Z14" i="5"/>
  <c r="AD14" i="5" s="1"/>
  <c r="AA10" i="5"/>
  <c r="Z10" i="5"/>
  <c r="AD10" i="5" s="1"/>
  <c r="Z9" i="5"/>
  <c r="AD9" i="5" s="1"/>
  <c r="AA9" i="5"/>
  <c r="U28" i="4" l="1"/>
  <c r="R28" i="4"/>
  <c r="AC28" i="4" s="1"/>
  <c r="AB28" i="4" s="1"/>
  <c r="K28" i="4"/>
  <c r="Y27" i="4"/>
  <c r="AA27" i="4" s="1"/>
  <c r="U27" i="4"/>
  <c r="R27" i="4"/>
  <c r="AC27" i="4" s="1"/>
  <c r="AB27" i="4" s="1"/>
  <c r="L27" i="4"/>
  <c r="M27" i="4" s="1"/>
  <c r="K27" i="4"/>
  <c r="H27" i="4"/>
  <c r="U26" i="4"/>
  <c r="R26" i="4"/>
  <c r="AC26" i="4" s="1"/>
  <c r="AB26" i="4" s="1"/>
  <c r="K26" i="4"/>
  <c r="U25" i="4"/>
  <c r="R25" i="4"/>
  <c r="AC25" i="4" s="1"/>
  <c r="AB25" i="4" s="1"/>
  <c r="L25" i="4"/>
  <c r="K25" i="4"/>
  <c r="H25" i="4"/>
  <c r="I25" i="4" s="1"/>
  <c r="AC24" i="4"/>
  <c r="AB24" i="4" s="1"/>
  <c r="Y24" i="4"/>
  <c r="AA24" i="4" s="1"/>
  <c r="U24" i="4"/>
  <c r="R24" i="4"/>
  <c r="K24" i="4"/>
  <c r="U23" i="4"/>
  <c r="R23" i="4"/>
  <c r="AC23" i="4" s="1"/>
  <c r="AB23" i="4" s="1"/>
  <c r="L23" i="4"/>
  <c r="M23" i="4" s="1"/>
  <c r="K23" i="4"/>
  <c r="H23" i="4"/>
  <c r="I23" i="4" s="1"/>
  <c r="AC22" i="4"/>
  <c r="AB22" i="4"/>
  <c r="Y22" i="4"/>
  <c r="AA22" i="4" s="1"/>
  <c r="U22" i="4"/>
  <c r="R22" i="4"/>
  <c r="K22" i="4"/>
  <c r="AC21" i="4"/>
  <c r="AB21" i="4" s="1"/>
  <c r="Y21" i="4"/>
  <c r="AA21" i="4" s="1"/>
  <c r="U21" i="4"/>
  <c r="R21" i="4"/>
  <c r="L21" i="4"/>
  <c r="M21" i="4" s="1"/>
  <c r="K21" i="4"/>
  <c r="H21" i="4"/>
  <c r="I21" i="4" s="1"/>
  <c r="U20" i="4"/>
  <c r="R20" i="4"/>
  <c r="Y20" i="4" s="1"/>
  <c r="K20" i="4"/>
  <c r="AC19" i="4"/>
  <c r="AB19" i="4" s="1"/>
  <c r="U19" i="4"/>
  <c r="R19" i="4"/>
  <c r="Y19" i="4" s="1"/>
  <c r="L19" i="4"/>
  <c r="M19" i="4" s="1"/>
  <c r="K19" i="4"/>
  <c r="H19" i="4"/>
  <c r="I19" i="4" s="1"/>
  <c r="U18" i="4"/>
  <c r="R18" i="4"/>
  <c r="Y18" i="4" s="1"/>
  <c r="K18" i="4"/>
  <c r="U17" i="4"/>
  <c r="R17" i="4"/>
  <c r="Y17" i="4" s="1"/>
  <c r="L17" i="4"/>
  <c r="K17" i="4"/>
  <c r="H17" i="4"/>
  <c r="I17" i="4" s="1"/>
  <c r="AC16" i="4"/>
  <c r="AB16" i="4" s="1"/>
  <c r="Y16" i="4"/>
  <c r="Z16" i="4" s="1"/>
  <c r="U16" i="4"/>
  <c r="R16" i="4"/>
  <c r="K16" i="4"/>
  <c r="U15" i="4"/>
  <c r="R15" i="4"/>
  <c r="Y15" i="4" s="1"/>
  <c r="L15" i="4"/>
  <c r="M15" i="4" s="1"/>
  <c r="K15" i="4"/>
  <c r="H15" i="4"/>
  <c r="AC14" i="4"/>
  <c r="AB14" i="4"/>
  <c r="Y14" i="4"/>
  <c r="AA14" i="4" s="1"/>
  <c r="U14" i="4"/>
  <c r="K14" i="4"/>
  <c r="AC13" i="4"/>
  <c r="AB13" i="4" s="1"/>
  <c r="Y13" i="4"/>
  <c r="AA13" i="4" s="1"/>
  <c r="U13" i="4"/>
  <c r="R13" i="4"/>
  <c r="L13" i="4"/>
  <c r="M13" i="4" s="1"/>
  <c r="K13" i="4"/>
  <c r="H13" i="4"/>
  <c r="U12" i="4"/>
  <c r="R12" i="4"/>
  <c r="AC12" i="4" s="1"/>
  <c r="AB12" i="4" s="1"/>
  <c r="K12" i="4"/>
  <c r="AC11" i="4"/>
  <c r="AB11" i="4" s="1"/>
  <c r="Y11" i="4"/>
  <c r="Z11" i="4" s="1"/>
  <c r="L11" i="4"/>
  <c r="M11" i="4" s="1"/>
  <c r="H11" i="4"/>
  <c r="I11" i="4" s="1"/>
  <c r="U10" i="4"/>
  <c r="R10" i="4"/>
  <c r="Y10" i="4" s="1"/>
  <c r="K10" i="4"/>
  <c r="U9" i="4"/>
  <c r="L9" i="4"/>
  <c r="M9" i="4" s="1"/>
  <c r="AC9" i="4" s="1"/>
  <c r="AB9" i="4" s="1"/>
  <c r="K9" i="4"/>
  <c r="H9" i="4"/>
  <c r="N25" i="4" l="1"/>
  <c r="N17" i="4"/>
  <c r="N15" i="4"/>
  <c r="I15" i="4"/>
  <c r="N21" i="4"/>
  <c r="N9" i="4"/>
  <c r="AD11" i="4"/>
  <c r="N23" i="4"/>
  <c r="N27" i="4"/>
  <c r="AA11" i="4"/>
  <c r="I9" i="4"/>
  <c r="Y9" i="4" s="1"/>
  <c r="Z9" i="4" s="1"/>
  <c r="AD9" i="4" s="1"/>
  <c r="N11" i="4"/>
  <c r="N13" i="4"/>
  <c r="AA10" i="4"/>
  <c r="Z10" i="4"/>
  <c r="Z15" i="4"/>
  <c r="AA15" i="4"/>
  <c r="Z20" i="4"/>
  <c r="AA20" i="4"/>
  <c r="AA9" i="4"/>
  <c r="Z17" i="4"/>
  <c r="AA17" i="4"/>
  <c r="AA19" i="4"/>
  <c r="Z19" i="4"/>
  <c r="AD19" i="4" s="1"/>
  <c r="AD16" i="4"/>
  <c r="AA18" i="4"/>
  <c r="Z18" i="4"/>
  <c r="I13" i="4"/>
  <c r="Z13" i="4"/>
  <c r="AD13" i="4" s="1"/>
  <c r="Z14" i="4"/>
  <c r="AD14" i="4" s="1"/>
  <c r="AA16" i="4"/>
  <c r="M17" i="4"/>
  <c r="AC17" i="4"/>
  <c r="AB17" i="4" s="1"/>
  <c r="N19" i="4"/>
  <c r="AC20" i="4"/>
  <c r="AB20" i="4" s="1"/>
  <c r="Y25" i="4"/>
  <c r="I27" i="4"/>
  <c r="Z27" i="4"/>
  <c r="AD27" i="4" s="1"/>
  <c r="Y28" i="4"/>
  <c r="AC10" i="4"/>
  <c r="AB10" i="4" s="1"/>
  <c r="Y12" i="4"/>
  <c r="AC15" i="4"/>
  <c r="AB15" i="4" s="1"/>
  <c r="AC18" i="4"/>
  <c r="AB18" i="4" s="1"/>
  <c r="Y23" i="4"/>
  <c r="Y26" i="4"/>
  <c r="Z21" i="4"/>
  <c r="AD21" i="4" s="1"/>
  <c r="Z24" i="4"/>
  <c r="AD24" i="4" s="1"/>
  <c r="Z22" i="4"/>
  <c r="AD22" i="4" s="1"/>
  <c r="M25" i="4"/>
  <c r="AA26" i="4" l="1"/>
  <c r="Z26" i="4"/>
  <c r="AD26" i="4" s="1"/>
  <c r="AA23" i="4"/>
  <c r="Z23" i="4"/>
  <c r="AD23" i="4" s="1"/>
  <c r="AA25" i="4"/>
  <c r="Z25" i="4"/>
  <c r="AD25" i="4" s="1"/>
  <c r="AA12" i="4"/>
  <c r="Z12" i="4"/>
  <c r="AD12" i="4" s="1"/>
  <c r="AD20" i="4"/>
  <c r="AD18" i="4"/>
  <c r="AA28" i="4"/>
  <c r="Z28" i="4"/>
  <c r="AD28" i="4" s="1"/>
  <c r="AD15" i="4"/>
  <c r="AD10" i="4"/>
  <c r="AD17" i="4"/>
  <c r="U12" i="3" l="1"/>
  <c r="R12" i="3"/>
  <c r="Y12" i="3" s="1"/>
  <c r="K12" i="3"/>
  <c r="U11" i="3"/>
  <c r="R11" i="3"/>
  <c r="L11" i="3"/>
  <c r="M11" i="3" s="1"/>
  <c r="K11" i="3"/>
  <c r="H11" i="3"/>
  <c r="I11" i="3" s="1"/>
  <c r="U10" i="3"/>
  <c r="R10" i="3"/>
  <c r="Y10" i="3" s="1"/>
  <c r="K10" i="3"/>
  <c r="U9" i="3"/>
  <c r="R9" i="3"/>
  <c r="L9" i="3"/>
  <c r="M9" i="3" s="1"/>
  <c r="AC9" i="3" s="1"/>
  <c r="AB9" i="3" s="1"/>
  <c r="K9" i="3"/>
  <c r="H9" i="3"/>
  <c r="AA10" i="3" l="1"/>
  <c r="Z10" i="3"/>
  <c r="AC10" i="3"/>
  <c r="AB10" i="3" s="1"/>
  <c r="AC12" i="3"/>
  <c r="AB12" i="3" s="1"/>
  <c r="N9" i="3"/>
  <c r="N11" i="3"/>
  <c r="AC11" i="3"/>
  <c r="AB11" i="3" s="1"/>
  <c r="I9" i="3"/>
  <c r="Y9" i="3" s="1"/>
  <c r="Z9" i="3" s="1"/>
  <c r="AD9" i="3" s="1"/>
  <c r="AA12" i="3"/>
  <c r="Z12" i="3"/>
  <c r="Y11" i="3"/>
  <c r="AD12" i="3" l="1"/>
  <c r="AD10" i="3"/>
  <c r="AA9" i="3"/>
  <c r="AA11" i="3"/>
  <c r="Z11" i="3"/>
  <c r="AD11" i="3" s="1"/>
  <c r="U12" i="2" l="1"/>
  <c r="R12" i="2"/>
  <c r="K12" i="2"/>
  <c r="U11" i="2"/>
  <c r="R11" i="2"/>
  <c r="K11" i="2"/>
  <c r="L11" i="2" s="1"/>
  <c r="I11" i="2"/>
  <c r="U10" i="2"/>
  <c r="R10" i="2"/>
  <c r="K10" i="2"/>
  <c r="U9" i="2"/>
  <c r="R9" i="2"/>
  <c r="K9" i="2"/>
  <c r="L9" i="2" s="1"/>
  <c r="H9" i="2"/>
  <c r="I9" i="2" s="1"/>
  <c r="Y9" i="2" l="1"/>
  <c r="N11" i="2"/>
  <c r="M11" i="2"/>
  <c r="AC11" i="2" s="1"/>
  <c r="AB11" i="2" s="1"/>
  <c r="M9" i="2"/>
  <c r="AC9" i="2" s="1"/>
  <c r="AC12" i="2" s="1"/>
  <c r="AB12" i="2" s="1"/>
  <c r="N9" i="2"/>
  <c r="Y11" i="2"/>
  <c r="AA11" i="2" l="1"/>
  <c r="Y12" i="2" s="1"/>
  <c r="Z11" i="2"/>
  <c r="AD11" i="2" s="1"/>
  <c r="AB9" i="2"/>
  <c r="AC10" i="2"/>
  <c r="AB10" i="2" s="1"/>
  <c r="AA9" i="2"/>
  <c r="Y10" i="2" s="1"/>
  <c r="Z9" i="2"/>
  <c r="AD9" i="2" l="1"/>
  <c r="Z12" i="2"/>
  <c r="AD12" i="2" s="1"/>
  <c r="AA12" i="2"/>
  <c r="AA10" i="2"/>
  <c r="Z10" i="2"/>
  <c r="AD10" i="2" s="1"/>
  <c r="U192" i="1" l="1"/>
  <c r="R192" i="1"/>
  <c r="AC192" i="1" s="1"/>
  <c r="AB192" i="1" s="1"/>
  <c r="K192" i="1"/>
  <c r="U191" i="1"/>
  <c r="R191" i="1"/>
  <c r="AC191" i="1" s="1"/>
  <c r="AB191" i="1" s="1"/>
  <c r="L191" i="1"/>
  <c r="M191" i="1" s="1"/>
  <c r="K191" i="1"/>
  <c r="H191" i="1"/>
  <c r="U190" i="1"/>
  <c r="R190" i="1"/>
  <c r="K190" i="1"/>
  <c r="U189" i="1"/>
  <c r="R189" i="1"/>
  <c r="L189" i="1"/>
  <c r="M189" i="1" s="1"/>
  <c r="K189" i="1"/>
  <c r="H189" i="1"/>
  <c r="Y191" i="1" l="1"/>
  <c r="AA191" i="1" s="1"/>
  <c r="N189" i="1"/>
  <c r="N191" i="1"/>
  <c r="I191" i="1"/>
  <c r="Y192" i="1"/>
  <c r="I189" i="1"/>
  <c r="Y189" i="1" s="1"/>
  <c r="AC189" i="1"/>
  <c r="AB189" i="1" s="1"/>
  <c r="Z191" i="1" l="1"/>
  <c r="AD191" i="1" s="1"/>
  <c r="AC190" i="1"/>
  <c r="AB190" i="1" s="1"/>
  <c r="AA192" i="1"/>
  <c r="Z192" i="1"/>
  <c r="AD192" i="1" s="1"/>
  <c r="AA189" i="1"/>
  <c r="Y190" i="1" s="1"/>
  <c r="Z189" i="1"/>
  <c r="AD189" i="1" s="1"/>
  <c r="Z190" i="1" l="1"/>
  <c r="AD190" i="1" s="1"/>
  <c r="AA190" i="1"/>
  <c r="U166" i="1" l="1"/>
  <c r="R166" i="1"/>
  <c r="AC166" i="1" s="1"/>
  <c r="AB166" i="1" s="1"/>
  <c r="K166" i="1"/>
  <c r="U165" i="1"/>
  <c r="R165" i="1"/>
  <c r="AC165" i="1" s="1"/>
  <c r="AB165" i="1" s="1"/>
  <c r="L165" i="1"/>
  <c r="M165" i="1" s="1"/>
  <c r="K165" i="1"/>
  <c r="H165" i="1"/>
  <c r="U164" i="1"/>
  <c r="R164" i="1"/>
  <c r="K164" i="1"/>
  <c r="U163" i="1"/>
  <c r="R163" i="1"/>
  <c r="L163" i="1"/>
  <c r="M163" i="1" s="1"/>
  <c r="K163" i="1"/>
  <c r="H163" i="1"/>
  <c r="I163" i="1" s="1"/>
  <c r="K162" i="1"/>
  <c r="H162" i="1"/>
  <c r="I162" i="1" s="1"/>
  <c r="H160" i="1"/>
  <c r="I160" i="1" s="1"/>
  <c r="N165" i="1" l="1"/>
  <c r="N163" i="1"/>
  <c r="Y164" i="1"/>
  <c r="AA164" i="1" s="1"/>
  <c r="AC164" i="1"/>
  <c r="AB164" i="1" s="1"/>
  <c r="AC163" i="1"/>
  <c r="AB163" i="1" s="1"/>
  <c r="Y165" i="1"/>
  <c r="I165" i="1"/>
  <c r="Y166" i="1"/>
  <c r="Y163" i="1"/>
  <c r="Z164" i="1" l="1"/>
  <c r="AD164" i="1" s="1"/>
  <c r="AA165" i="1"/>
  <c r="Z165" i="1"/>
  <c r="AD165" i="1" s="1"/>
  <c r="AA163" i="1"/>
  <c r="Z163" i="1"/>
  <c r="AD163" i="1" s="1"/>
  <c r="AA166" i="1"/>
  <c r="Z166" i="1"/>
  <c r="AD166" i="1" s="1"/>
  <c r="U137" i="1" l="1"/>
  <c r="R137" i="1"/>
  <c r="AC137" i="1" s="1"/>
  <c r="AB137" i="1" s="1"/>
  <c r="K137" i="1"/>
  <c r="U136" i="1"/>
  <c r="R136" i="1"/>
  <c r="AC136" i="1" s="1"/>
  <c r="AB136" i="1" s="1"/>
  <c r="L136" i="1"/>
  <c r="M136" i="1" s="1"/>
  <c r="K136" i="1"/>
  <c r="H136" i="1"/>
  <c r="I136" i="1" s="1"/>
  <c r="U135" i="1"/>
  <c r="R135" i="1"/>
  <c r="Y135" i="1" s="1"/>
  <c r="K135" i="1"/>
  <c r="U134" i="1"/>
  <c r="R134" i="1"/>
  <c r="Y134" i="1" s="1"/>
  <c r="L134" i="1"/>
  <c r="M134" i="1" s="1"/>
  <c r="K134" i="1"/>
  <c r="H134" i="1"/>
  <c r="I134" i="1" s="1"/>
  <c r="U133" i="1"/>
  <c r="R133" i="1"/>
  <c r="K133" i="1"/>
  <c r="U132" i="1"/>
  <c r="R132" i="1"/>
  <c r="K132" i="1"/>
  <c r="L132" i="1" s="1"/>
  <c r="M132" i="1" s="1"/>
  <c r="AC132" i="1" s="1"/>
  <c r="H132" i="1"/>
  <c r="I132" i="1" s="1"/>
  <c r="AC134" i="1" l="1"/>
  <c r="AB134" i="1" s="1"/>
  <c r="N136" i="1"/>
  <c r="N134" i="1"/>
  <c r="AC135" i="1"/>
  <c r="AB135" i="1" s="1"/>
  <c r="AA134" i="1"/>
  <c r="Z134" i="1"/>
  <c r="AA135" i="1"/>
  <c r="Z135" i="1"/>
  <c r="AC133" i="1"/>
  <c r="AB133" i="1" s="1"/>
  <c r="AB132" i="1"/>
  <c r="Y136" i="1"/>
  <c r="Y137" i="1"/>
  <c r="N132" i="1"/>
  <c r="Y132" i="1"/>
  <c r="AD134" i="1" l="1"/>
  <c r="AD135" i="1"/>
  <c r="AA137" i="1"/>
  <c r="Z137" i="1"/>
  <c r="AD137" i="1" s="1"/>
  <c r="AA136" i="1"/>
  <c r="Z136" i="1"/>
  <c r="AD136" i="1" s="1"/>
  <c r="AA132" i="1"/>
  <c r="Y133" i="1" s="1"/>
  <c r="Z132" i="1"/>
  <c r="AD132" i="1" s="1"/>
  <c r="Z133" i="1" l="1"/>
  <c r="AD133" i="1" s="1"/>
  <c r="AA133" i="1"/>
  <c r="U112" i="1" l="1"/>
  <c r="R112" i="1"/>
  <c r="AC112" i="1" s="1"/>
  <c r="AB112" i="1" s="1"/>
  <c r="K112" i="1"/>
  <c r="U111" i="1"/>
  <c r="R111" i="1"/>
  <c r="AC111" i="1" s="1"/>
  <c r="AB111" i="1" s="1"/>
  <c r="L111" i="1"/>
  <c r="M111" i="1" s="1"/>
  <c r="K111" i="1"/>
  <c r="H111" i="1"/>
  <c r="I111" i="1" s="1"/>
  <c r="U110" i="1"/>
  <c r="R110" i="1"/>
  <c r="AC110" i="1" s="1"/>
  <c r="AB110" i="1" s="1"/>
  <c r="K110" i="1"/>
  <c r="U109" i="1"/>
  <c r="R109" i="1"/>
  <c r="Y109" i="1" s="1"/>
  <c r="L109" i="1"/>
  <c r="M109" i="1" s="1"/>
  <c r="K109" i="1"/>
  <c r="H109" i="1"/>
  <c r="I109" i="1" s="1"/>
  <c r="U108" i="1"/>
  <c r="R108" i="1"/>
  <c r="K108" i="1"/>
  <c r="U107" i="1"/>
  <c r="R107" i="1"/>
  <c r="L107" i="1"/>
  <c r="N107" i="1" s="1"/>
  <c r="K107" i="1"/>
  <c r="H107" i="1"/>
  <c r="I107" i="1" s="1"/>
  <c r="U106" i="1"/>
  <c r="R106" i="1"/>
  <c r="K106" i="1"/>
  <c r="U105" i="1"/>
  <c r="R105" i="1"/>
  <c r="L105" i="1"/>
  <c r="M105" i="1" s="1"/>
  <c r="K105" i="1"/>
  <c r="H105" i="1"/>
  <c r="I105" i="1" s="1"/>
  <c r="AC109" i="1" l="1"/>
  <c r="AB109" i="1" s="1"/>
  <c r="Y107" i="1"/>
  <c r="AA107" i="1" s="1"/>
  <c r="Y108" i="1" s="1"/>
  <c r="Y110" i="1"/>
  <c r="AA110" i="1" s="1"/>
  <c r="N111" i="1"/>
  <c r="N109" i="1"/>
  <c r="Z109" i="1"/>
  <c r="AA109" i="1"/>
  <c r="M107" i="1"/>
  <c r="AC107" i="1" s="1"/>
  <c r="AB107" i="1" s="1"/>
  <c r="AC105" i="1"/>
  <c r="AB105" i="1" s="1"/>
  <c r="N105" i="1"/>
  <c r="Y111" i="1"/>
  <c r="Y112" i="1"/>
  <c r="Y105" i="1"/>
  <c r="Z110" i="1" l="1"/>
  <c r="AD110" i="1" s="1"/>
  <c r="AD109" i="1"/>
  <c r="Z107" i="1"/>
  <c r="AD107" i="1" s="1"/>
  <c r="Z108" i="1"/>
  <c r="AA108" i="1"/>
  <c r="AA105" i="1"/>
  <c r="Y106" i="1" s="1"/>
  <c r="Z105" i="1"/>
  <c r="AD105" i="1" s="1"/>
  <c r="AA112" i="1"/>
  <c r="Z112" i="1"/>
  <c r="AD112" i="1" s="1"/>
  <c r="AA111" i="1"/>
  <c r="Z111" i="1"/>
  <c r="AD111" i="1" s="1"/>
  <c r="AC106" i="1"/>
  <c r="AB106" i="1" s="1"/>
  <c r="AC108" i="1"/>
  <c r="AB108" i="1" s="1"/>
  <c r="Z106" i="1" l="1"/>
  <c r="AD106" i="1" s="1"/>
  <c r="AA106" i="1"/>
  <c r="AD108" i="1"/>
  <c r="U83" i="1" l="1"/>
  <c r="R83" i="1"/>
  <c r="AC83" i="1" s="1"/>
  <c r="AB83" i="1" s="1"/>
  <c r="K83" i="1"/>
  <c r="U82" i="1"/>
  <c r="R82" i="1"/>
  <c r="AC82" i="1" s="1"/>
  <c r="AB82" i="1" s="1"/>
  <c r="L82" i="1"/>
  <c r="M82" i="1" s="1"/>
  <c r="K82" i="1"/>
  <c r="H82" i="1"/>
  <c r="U81" i="1"/>
  <c r="R81" i="1"/>
  <c r="Y81" i="1" s="1"/>
  <c r="K81" i="1"/>
  <c r="U80" i="1"/>
  <c r="R80" i="1"/>
  <c r="AC80" i="1" s="1"/>
  <c r="AB80" i="1" s="1"/>
  <c r="L80" i="1"/>
  <c r="M80" i="1" s="1"/>
  <c r="K80" i="1"/>
  <c r="H80" i="1"/>
  <c r="I80" i="1" s="1"/>
  <c r="U79" i="1"/>
  <c r="R79" i="1"/>
  <c r="AC79" i="1" s="1"/>
  <c r="AB79" i="1" s="1"/>
  <c r="K79" i="1"/>
  <c r="U78" i="1"/>
  <c r="R78" i="1"/>
  <c r="L78" i="1"/>
  <c r="K78" i="1"/>
  <c r="H78" i="1"/>
  <c r="I78" i="1" s="1"/>
  <c r="U77" i="1"/>
  <c r="R77" i="1"/>
  <c r="AC77" i="1" s="1"/>
  <c r="AB77" i="1" s="1"/>
  <c r="K77" i="1"/>
  <c r="U76" i="1"/>
  <c r="R76" i="1"/>
  <c r="L76" i="1"/>
  <c r="K76" i="1"/>
  <c r="H76" i="1"/>
  <c r="I76" i="1" s="1"/>
  <c r="N78" i="1" l="1"/>
  <c r="Y77" i="1"/>
  <c r="AA77" i="1" s="1"/>
  <c r="Y76" i="1"/>
  <c r="Z76" i="1" s="1"/>
  <c r="N80" i="1"/>
  <c r="Y79" i="1"/>
  <c r="M78" i="1"/>
  <c r="AC78" i="1" s="1"/>
  <c r="AB78" i="1" s="1"/>
  <c r="Y78" i="1"/>
  <c r="Z78" i="1" s="1"/>
  <c r="N76" i="1"/>
  <c r="AC81" i="1"/>
  <c r="AB81" i="1" s="1"/>
  <c r="N82" i="1"/>
  <c r="AA81" i="1"/>
  <c r="Z81" i="1"/>
  <c r="M76" i="1"/>
  <c r="AC76" i="1" s="1"/>
  <c r="AB76" i="1" s="1"/>
  <c r="Y82" i="1"/>
  <c r="Y80" i="1"/>
  <c r="I82" i="1"/>
  <c r="Y83" i="1"/>
  <c r="AA78" i="1" l="1"/>
  <c r="AA76" i="1"/>
  <c r="Z77" i="1"/>
  <c r="AD77" i="1" s="1"/>
  <c r="AD78" i="1"/>
  <c r="AD81" i="1"/>
  <c r="AA79" i="1"/>
  <c r="Z79" i="1"/>
  <c r="AD79" i="1" s="1"/>
  <c r="AA80" i="1"/>
  <c r="Z80" i="1"/>
  <c r="AD80" i="1" s="1"/>
  <c r="AA82" i="1"/>
  <c r="Z82" i="1"/>
  <c r="AD82" i="1" s="1"/>
  <c r="AA83" i="1"/>
  <c r="Z83" i="1"/>
  <c r="AD83" i="1" s="1"/>
  <c r="AD76" i="1"/>
  <c r="U53" i="1" l="1"/>
  <c r="R53" i="1"/>
  <c r="AC53" i="1" s="1"/>
  <c r="AB53" i="1" s="1"/>
  <c r="K53" i="1"/>
  <c r="U52" i="1"/>
  <c r="R52" i="1"/>
  <c r="AC52" i="1" s="1"/>
  <c r="AB52" i="1" s="1"/>
  <c r="L52" i="1"/>
  <c r="M52" i="1" s="1"/>
  <c r="K52" i="1"/>
  <c r="H52" i="1"/>
  <c r="U51" i="1"/>
  <c r="R51" i="1"/>
  <c r="K51" i="1"/>
  <c r="U50" i="1"/>
  <c r="R50" i="1"/>
  <c r="L50" i="1"/>
  <c r="M50" i="1" s="1"/>
  <c r="K50" i="1"/>
  <c r="H50" i="1"/>
  <c r="I50" i="1" s="1"/>
  <c r="U49" i="1"/>
  <c r="R49" i="1"/>
  <c r="K49" i="1"/>
  <c r="U48" i="1"/>
  <c r="R48" i="1"/>
  <c r="L48" i="1"/>
  <c r="M48" i="1" s="1"/>
  <c r="K48" i="1"/>
  <c r="H48" i="1"/>
  <c r="I48" i="1" s="1"/>
  <c r="U47" i="1"/>
  <c r="R47" i="1"/>
  <c r="K47" i="1"/>
  <c r="U46" i="1"/>
  <c r="R46" i="1"/>
  <c r="L46" i="1"/>
  <c r="M46" i="1" s="1"/>
  <c r="AC46" i="1" s="1"/>
  <c r="K46" i="1"/>
  <c r="H46" i="1"/>
  <c r="I46" i="1" s="1"/>
  <c r="U45" i="1"/>
  <c r="R45" i="1"/>
  <c r="K45" i="1"/>
  <c r="U44" i="1"/>
  <c r="R44" i="1"/>
  <c r="L44" i="1"/>
  <c r="M44" i="1" s="1"/>
  <c r="AC44" i="1" s="1"/>
  <c r="AB44" i="1" s="1"/>
  <c r="K44" i="1"/>
  <c r="H44" i="1"/>
  <c r="I44" i="1" s="1"/>
  <c r="AC47" i="1" l="1"/>
  <c r="AB47" i="1" s="1"/>
  <c r="N52" i="1"/>
  <c r="AC51" i="1"/>
  <c r="AB51" i="1" s="1"/>
  <c r="N48" i="1"/>
  <c r="Y46" i="1"/>
  <c r="AA46" i="1" s="1"/>
  <c r="Y47" i="1"/>
  <c r="AA47" i="1" s="1"/>
  <c r="Y52" i="1"/>
  <c r="AA52" i="1" s="1"/>
  <c r="N46" i="1"/>
  <c r="N50" i="1"/>
  <c r="AB46" i="1"/>
  <c r="AC49" i="1"/>
  <c r="AB49" i="1" s="1"/>
  <c r="AC48" i="1"/>
  <c r="AB48" i="1" s="1"/>
  <c r="N44" i="1"/>
  <c r="AC45" i="1"/>
  <c r="AB45" i="1" s="1"/>
  <c r="Y50" i="1"/>
  <c r="I52" i="1"/>
  <c r="Y53" i="1"/>
  <c r="Y51" i="1"/>
  <c r="Y44" i="1"/>
  <c r="AC50" i="1"/>
  <c r="AB50" i="1" s="1"/>
  <c r="Y48" i="1"/>
  <c r="Z52" i="1" l="1"/>
  <c r="AD52" i="1" s="1"/>
  <c r="Z47" i="1"/>
  <c r="AD47" i="1" s="1"/>
  <c r="Z46" i="1"/>
  <c r="AD46" i="1" s="1"/>
  <c r="AA48" i="1"/>
  <c r="Y49" i="1" s="1"/>
  <c r="Z48" i="1"/>
  <c r="AD48" i="1" s="1"/>
  <c r="Z50" i="1"/>
  <c r="AD50" i="1" s="1"/>
  <c r="AA50" i="1"/>
  <c r="AA51" i="1"/>
  <c r="Z51" i="1"/>
  <c r="AD51" i="1" s="1"/>
  <c r="Z53" i="1"/>
  <c r="AD53" i="1" s="1"/>
  <c r="AA53" i="1"/>
  <c r="AA44" i="1"/>
  <c r="Y45" i="1" s="1"/>
  <c r="Z44" i="1"/>
  <c r="AD44" i="1" s="1"/>
  <c r="Z45" i="1" l="1"/>
  <c r="AD45" i="1" s="1"/>
  <c r="AA45" i="1"/>
  <c r="AA49" i="1"/>
  <c r="Z49" i="1"/>
  <c r="AD49" i="1" s="1"/>
  <c r="U25" i="1" l="1"/>
  <c r="R25" i="1"/>
  <c r="Y25" i="1" s="1"/>
  <c r="K25" i="1"/>
  <c r="U24" i="1"/>
  <c r="R24" i="1"/>
  <c r="AC24" i="1" s="1"/>
  <c r="AB24" i="1" s="1"/>
  <c r="L24" i="1"/>
  <c r="M24" i="1" s="1"/>
  <c r="K24" i="1"/>
  <c r="H24" i="1"/>
  <c r="I24" i="1" s="1"/>
  <c r="U23" i="1"/>
  <c r="R23" i="1"/>
  <c r="K23" i="1"/>
  <c r="U22" i="1"/>
  <c r="R22" i="1"/>
  <c r="K22" i="1"/>
  <c r="L22" i="1" s="1"/>
  <c r="M22" i="1" s="1"/>
  <c r="AC22" i="1" s="1"/>
  <c r="AB22" i="1" s="1"/>
  <c r="H22" i="1"/>
  <c r="U21" i="1"/>
  <c r="R21" i="1"/>
  <c r="K21" i="1"/>
  <c r="U20" i="1"/>
  <c r="R20" i="1"/>
  <c r="K20" i="1"/>
  <c r="L20" i="1" s="1"/>
  <c r="M20" i="1" s="1"/>
  <c r="H20" i="1"/>
  <c r="I20" i="1" s="1"/>
  <c r="U19" i="1"/>
  <c r="R19" i="1"/>
  <c r="K19" i="1"/>
  <c r="U18" i="1"/>
  <c r="R18" i="1"/>
  <c r="K18" i="1"/>
  <c r="L18" i="1" s="1"/>
  <c r="M18" i="1" s="1"/>
  <c r="H18" i="1"/>
  <c r="I18" i="1" s="1"/>
  <c r="U17" i="1"/>
  <c r="R17" i="1"/>
  <c r="K17" i="1"/>
  <c r="U16" i="1"/>
  <c r="R16" i="1"/>
  <c r="K16" i="1"/>
  <c r="L16" i="1" s="1"/>
  <c r="M16" i="1" s="1"/>
  <c r="H16" i="1"/>
  <c r="Y18" i="1" l="1"/>
  <c r="AC25" i="1"/>
  <c r="AB25" i="1" s="1"/>
  <c r="N24" i="1"/>
  <c r="N16" i="1"/>
  <c r="N22" i="1"/>
  <c r="Z18" i="1"/>
  <c r="AA18" i="1"/>
  <c r="Y19" i="1" s="1"/>
  <c r="N20" i="1"/>
  <c r="AC20" i="1"/>
  <c r="AB20" i="1" s="1"/>
  <c r="AA25" i="1"/>
  <c r="Z25" i="1"/>
  <c r="AC18" i="1"/>
  <c r="AB18" i="1" s="1"/>
  <c r="AC16" i="1"/>
  <c r="AB16" i="1" s="1"/>
  <c r="N18" i="1"/>
  <c r="Y24" i="1"/>
  <c r="I16" i="1"/>
  <c r="Y16" i="1" s="1"/>
  <c r="Y20" i="1"/>
  <c r="I22" i="1"/>
  <c r="Y22" i="1" s="1"/>
  <c r="AD25" i="1" l="1"/>
  <c r="AC21" i="1"/>
  <c r="AB21" i="1" s="1"/>
  <c r="AD18" i="1"/>
  <c r="AA16" i="1"/>
  <c r="Y17" i="1" s="1"/>
  <c r="Z16" i="1"/>
  <c r="AD16" i="1" s="1"/>
  <c r="AA24" i="1"/>
  <c r="Z24" i="1"/>
  <c r="AD24" i="1" s="1"/>
  <c r="AC17" i="1"/>
  <c r="AB17" i="1" s="1"/>
  <c r="AC19" i="1"/>
  <c r="AB19" i="1" s="1"/>
  <c r="AA22" i="1"/>
  <c r="Y23" i="1" s="1"/>
  <c r="Z22" i="1"/>
  <c r="AD22" i="1" s="1"/>
  <c r="AC23" i="1"/>
  <c r="AB23" i="1" s="1"/>
  <c r="AA20" i="1"/>
  <c r="Y21" i="1" s="1"/>
  <c r="Z20" i="1"/>
  <c r="AD20" i="1" s="1"/>
  <c r="AA19" i="1"/>
  <c r="Z19" i="1"/>
  <c r="AA23" i="1" l="1"/>
  <c r="Z23" i="1"/>
  <c r="AD23" i="1" s="1"/>
  <c r="Z21" i="1"/>
  <c r="AD21" i="1" s="1"/>
  <c r="AA21" i="1"/>
  <c r="Z17" i="1"/>
  <c r="AD17" i="1" s="1"/>
  <c r="AA17" i="1"/>
  <c r="AD19" i="1"/>
</calcChain>
</file>

<file path=xl/sharedStrings.xml><?xml version="1.0" encoding="utf-8"?>
<sst xmlns="http://schemas.openxmlformats.org/spreadsheetml/2006/main" count="2876" uniqueCount="632">
  <si>
    <t>ADMINISTRACIÓN Y CONTROL DEL RIESGO</t>
  </si>
  <si>
    <t>PE-01-3-P1-F1</t>
  </si>
  <si>
    <t>MAPA DE RIESGOS INSTITUCIONAL</t>
  </si>
  <si>
    <t>Version 02</t>
  </si>
  <si>
    <t>Fecha: 31/10/2022</t>
  </si>
  <si>
    <t>Proceso:</t>
  </si>
  <si>
    <t>Gestión de bienes y servicios</t>
  </si>
  <si>
    <t>Subproceso</t>
  </si>
  <si>
    <t>Contratación</t>
  </si>
  <si>
    <t>Objetivo</t>
  </si>
  <si>
    <t xml:space="preserve"> Asesorar y llevar a cabo las actividades y prácticas establecidas en el trámite Contractual para la adquisición de los bienes, servicios y obras públicas que se requieran para cumplir con la misión y objetivos de la Alcaldía de San José de Cúcuta, de manera transparente y eficiente.</t>
  </si>
  <si>
    <t>Alcance</t>
  </si>
  <si>
    <t>Aplica para todos los procesos de la Entidad, siendo transversal la Política de Compras y Contratación Pública, en su aplicación e implementación al interior de la Alcaldía de San José de Cúcuta.</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</si>
  <si>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</si>
  <si>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</si>
  <si>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</si>
  <si>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</si>
  <si>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</si>
  <si>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</si>
  <si>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</si>
  <si>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</si>
  <si>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</si>
  <si>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</si>
  <si>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</si>
  <si>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</si>
  <si>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</si>
  <si>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</si>
  <si>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</si>
  <si>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</si>
  <si>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</si>
  <si>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</si>
  <si>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</si>
  <si>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</si>
  <si>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Indicador</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</si>
  <si>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</si>
  <si>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</si>
  <si>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</si>
  <si>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</si>
  <si>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</si>
  <si>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</si>
  <si>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</si>
  <si>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</si>
  <si>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</si>
  <si>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</si>
  <si>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</si>
  <si>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</si>
  <si>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</si>
  <si>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</si>
  <si>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</si>
  <si>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</si>
  <si>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</si>
  <si>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</si>
  <si>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</si>
  <si>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Denuncias presentadas por partes interesadas, así como pérdidas patrimoniales, tanto directas como a través de demandas de nulidad del proceso de contratación</t>
  </si>
  <si>
    <t>Desconocimiento de las políticas y directrices para la Contratación Pública</t>
  </si>
  <si>
    <t>Posible riesgo económico y reputacional debido a denuncias presentadas por partes interesadas, así como pérdidas patrimoniales, tanto directas como a través de demandas de nulidad del proceso de contratación. Esto se deriva del desconocimiento de las políticas y directrices para la Contratación Pública.</t>
  </si>
  <si>
    <t>Ejecucion y administracion de procesos</t>
  </si>
  <si>
    <t>La actividad que conlleva el riesgo se ejecuta de 24 a 500 veces por año</t>
  </si>
  <si>
    <t xml:space="preserve">     El riesgo afecta la imagen de de la entidad con efecto publicitario sostenido a nivel de sector administrativo, nivel departamental o municipal</t>
  </si>
  <si>
    <t>El líder de subproceso realizará por lo menos una vez en el año, procesos de capacitación a las dependencias, en relación a los lineamientos (Manual de Contratación, Manual de Supervisión e Interventoría, Procedimientos derivados, manejo plataforma SECOP II), que se emitan desde el proceso de Contratación.</t>
  </si>
  <si>
    <t>No. de capacitaciones realizadas / No. de capacitaciones programadas</t>
  </si>
  <si>
    <t>Preventivo</t>
  </si>
  <si>
    <t>Manual</t>
  </si>
  <si>
    <t>Sin Documentar</t>
  </si>
  <si>
    <t>Continua</t>
  </si>
  <si>
    <t>Con Registro</t>
  </si>
  <si>
    <t>Reducir (mitigar)</t>
  </si>
  <si>
    <t>El abogado a cargo del proceso debe asegurar el cumplimiento exhaustivo de la revisión y atención de las observaciones, salvaguardando los intereses del municipio y garantizando el apego a las normativas legales y políticas establecidas.</t>
  </si>
  <si>
    <t>Porcentaje de observaciones o requerimientos realizados por partes interesadas que han sido debidamente revisados y atendidos por el abogado encargado del proceso</t>
  </si>
  <si>
    <t>Detectivo</t>
  </si>
  <si>
    <t>Documentado</t>
  </si>
  <si>
    <t>Reputacional</t>
  </si>
  <si>
    <t>Hallazgos durante los procesos de seguimiento y evaluación realizados por los entes de control</t>
  </si>
  <si>
    <t>Inconsistencias en la aplicación de los lineamientos y requisitos del proceso contractual en todas sus etapas</t>
  </si>
  <si>
    <t>Posible riesgo reputacional por hallazgos durante los procesos de seguimiento y evaluación realizados por los entes de control, como resultado de inconsistencias en la aplicación de los lineamientos y requisitos del proceso contractual en todas sus etapas.</t>
  </si>
  <si>
    <t>Usuarios productos y practicas</t>
  </si>
  <si>
    <t>La actividad que conlleva el riesgo se ejecuta mínimo 500 veces al año y máximo 5000 veces por año</t>
  </si>
  <si>
    <t xml:space="preserve">     El riesgo afecta la imagen de la entidad con algunos usuarios de relevancia frente al logro de los objetivos</t>
  </si>
  <si>
    <t>Verificación en la plataforma SECOP II y de forma física de los de documentos de los procesos contractuales por parte del profesional delegado por el Líder del Subproceso, antes de aprobación de minuta, a través del Check List para la contratación.</t>
  </si>
  <si>
    <t>No. de procesos contractuales revisados / No. de procesos contractuales programados</t>
  </si>
  <si>
    <t>Validación de las garantías de contratos celebrados por parte del Ordenador del Gasto, a través del acta de aprobación de garantías a aquellos procesos con solicitud de poliza.</t>
  </si>
  <si>
    <t>No. de actas aprobadas / No. de Contratos programados</t>
  </si>
  <si>
    <t>Debido a una calificación deficiente en el índice desagregado de desempeño</t>
  </si>
  <si>
    <t>Escasa implementación de los requisitos y directrices establecidos en la Política de Gestión del Modelo Integrado de Planeación y Gestión (MIPG) para Compras y Contratación Pública</t>
  </si>
  <si>
    <t>Posible riesgo reputacional debido a una calificación deficiente en el índice desagregado de desempeño, originada por la escasa implementación de los requisitos y directrices establecidos en la Política de Gestión del Modelo Integrado de Planeación y Gestión (MIPG) para Compras y Contratación Pública.</t>
  </si>
  <si>
    <t>La actividad que conlleva el riesgo se ejecuta de 3 a 24 veces por año</t>
  </si>
  <si>
    <t>El líder de subproceso realizará por lo menos una vez en el año, el autodiagnóstico para validar el estado de implementación de la política Compras y Contratación Pública</t>
  </si>
  <si>
    <t>No. de autodiagnósticos realizados / No. de autodignósticos programados</t>
  </si>
  <si>
    <t>El líder de subproceso realizará por lo menos una vez en el año un plan de acción para mejorar el desempeño de la política de Compras y Contratación Pública</t>
  </si>
  <si>
    <t>No. de planes de acción formulados / No. de planes de acción programados</t>
  </si>
  <si>
    <t>Retrasos en los procesos de liquidación de contratos</t>
  </si>
  <si>
    <t xml:space="preserve"> Ineficiencias en los procedimientos de gestión y seguimiento de los contratos, lo que dificulta la finalización oportuna y eficiente.</t>
  </si>
  <si>
    <t>Posibilidad de riesgo reputacional debido a retrasos en los procesos de liquidación de contratos por ineficiencias en los procedimientos de gestión y seguimiento de los contratos, lo que dificulta la finalización oportuna y eficiente.</t>
  </si>
  <si>
    <t>El ordenador del gasto realizará, cada vez que un contrato termine su ejecución, la liquidación del mismo a través del acta de liquidación, en los casos qie aplique.</t>
  </si>
  <si>
    <t>No. de actas de liquidaciones aprobadas / No. de contratos ejecutados que requieran liquidación</t>
  </si>
  <si>
    <t>El ordenador del gasto realizará, cada vez que un contrato termine su ejecución, el cierre del contrato a través del acta de cierre.</t>
  </si>
  <si>
    <t>No. de actas de cierre aprobadas / No. de contratos ejecutados que requieran cierre</t>
  </si>
  <si>
    <r>
      <rPr>
        <b/>
        <sz val="11"/>
        <rFont val="Calibri"/>
        <family val="2"/>
        <scheme val="minor"/>
      </rPr>
      <t xml:space="preserve">*Nota: </t>
    </r>
    <r>
      <rPr>
        <sz val="1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</si>
  <si>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Matriz de Riesgos DAFP</t>
  </si>
  <si>
    <t>Relacionamiento con el Ciudadano</t>
  </si>
  <si>
    <t>Gestión de Peticiones, Quejas, Reclamos, Sugerencias y Denuncias</t>
  </si>
  <si>
    <t>Gestionar las PQRSDF radicadas a través del Gestor Documental Orfeo, realizando seguimientos periódicos con el fin de validar el cumplimiento de los términos definidos por Ley.</t>
  </si>
  <si>
    <t xml:space="preserve">Aplica para todas las comunicaciones dirigidas a la Alcaldía de San José de Cúcuta que se radiquen a través del Gestor Documental Orfeo. </t>
  </si>
  <si>
    <t>Quejas de los peticionarios, o sanciones económicas</t>
  </si>
  <si>
    <t>Incumplimiento en los plazos de respuesta</t>
  </si>
  <si>
    <t>Posible riesgo económico y reputacional debido a quejas de los peticionarios o sanciones económicas derivadas del incumplimiento en los plazos de respuesta.</t>
  </si>
  <si>
    <t>La actividad que conlleva el riesgo se ejecuta más de 5000 veces por año</t>
  </si>
  <si>
    <t>El líder de Ventanilla Única proyecta el informe de seguimiento de PQRSDF y otros tipos documentales para la presentación en el Concejo de Gobierno a cargo del coordinador de PQRSDF de manera trimestral.</t>
  </si>
  <si>
    <t>No. de informes realizados / No. de informes programados</t>
  </si>
  <si>
    <t>El líder de Ventanilla Única remite los reportes de PQRSDF y otros tipos documentales necesarios para la realización de los seguimientos y visitas a cada una de las depencias por parte del grupo de seguimiento.</t>
  </si>
  <si>
    <t>No. reportes realizados / No. reportes programados</t>
  </si>
  <si>
    <t>Quejas de los usuarios</t>
  </si>
  <si>
    <t>Carencia de herramientas para recibir PQRSDF verbales a través del canal presencial</t>
  </si>
  <si>
    <t>Posible riesgo reputacional debido a quejas de los usuarios por la carencia de herramientas para recibir PQRSDF verbales a través del canal presencial.</t>
  </si>
  <si>
    <t>Desde el área de Ventanilla Única se apoya en la orientación para la atención de peticiones verbales por los ciudadanos.</t>
  </si>
  <si>
    <t>No. de PQRSDF recibidas verbalmente / No. de PQRSDF solicitadas verbalmente</t>
  </si>
  <si>
    <t>Quejas de los peticionarios</t>
  </si>
  <si>
    <t xml:space="preserve"> Fallos en el sistema electrónico y gestor documental para la radicación de PQRSDF, tanto de manera presencial como electrónica</t>
  </si>
  <si>
    <t>Posible riesgo reputacional debido a quejas de los peticionarios, ocasionadas por fallos en el sistema electrónico y gestor documental para la radicación de PQRSDF, tanto de manera presencial como electrónica.</t>
  </si>
  <si>
    <t>Fallas tecnologicas</t>
  </si>
  <si>
    <t>Los servidores públicos de la ventanilla única virtual, informarán al líder de la ventanilla Única, en el momento que se tenga conocimiento de la falla, para enviar mensaje a la mesa de ayuda informando los problemas en el formulario virtual.</t>
  </si>
  <si>
    <t>No. de reportes a mesa de ayuda por fallas en el formulario virtual / No. de fallas presentadas</t>
  </si>
  <si>
    <t>Correctivo</t>
  </si>
  <si>
    <t>Aleatoria</t>
  </si>
  <si>
    <t>El líder de Ventanilla Única informa a la Secretaría de Prensa y Comunicaciones u Oficina TIC, emitir un comunicado y piezas comunicativas para informar a los peticionarios que se están presentando fallas en el formulario, sin embargo pueden radicar su PQRSDF de manera presencial activando el plan de contingencia.</t>
  </si>
  <si>
    <t>No. de comunicados publicados / No. de fallas presentadas</t>
  </si>
  <si>
    <t xml:space="preserve"> Falta de claridad en el proceso interno de gestión de las PQRSDF</t>
  </si>
  <si>
    <t>Posibilidad de riesgo reputacional por quejas de los peticionarios debido a la falta de claridad en el proceso interno de gestión de las PQRSDF.</t>
  </si>
  <si>
    <t>El líder de Ventanilla Única realizará capacitaciones por lo menos una vez al año, a las dependencias en la normatividad aplicable al trámite interno de PQRSDF.</t>
  </si>
  <si>
    <t>Administración del Recurso Físico y apoyo Logístico</t>
  </si>
  <si>
    <t>Administrar los bienes y servicios de la Entidad a través de la planeación, mantenimiento, control, atención de requerimientos y toma física de activos, para satisfacer las necesidades y requerimientos de recursos físicos de las dependencias y procesos que faciliten y haga más eficiente la operación de la Alcaldía de San José de Cúcuta.</t>
  </si>
  <si>
    <t>Aplica para todos los procesos de la Alcaldía de San José de Cúcuta que adquieran y usen bienes muebles.</t>
  </si>
  <si>
    <t>Sanciones disciplinarias o fiscales impuestas por organismos de control</t>
  </si>
  <si>
    <t>Pérdida o sustracción de activos muebles</t>
  </si>
  <si>
    <t>Posibilidad de riesgo económico y reputacional derivado de sanciones disciplinarias o fiscales impuestas por organismos de control, como resultado de la pérdida o sustracción de activos muebles.</t>
  </si>
  <si>
    <t xml:space="preserve">     Entre 10 y 50 SMLMV </t>
  </si>
  <si>
    <t>El líder del Subproceso o su designado efectúa inspecciones regulares de inventario, visitando las dependencias para verificar físicamente el estado y la presencia de los activos. En caso de detectar anomalías, se registra la información pertinente para tomar acciones correctivas, que pueden incluir reposición, devolución o ajustes contables para mantener la integridad de los bienes.</t>
  </si>
  <si>
    <t>Desempeño = No Inventarios realizados - No eventos materializados / No inventarios realizados * 100</t>
  </si>
  <si>
    <t>El líder del Subproceso o su designado supervisa el proceso de entrada y salida de bienes muebles, documentando de manera detallada los activos que ingresan al almacén mediante un comprobante de entrada, así como los que salen mediante un comprobante de salida, ambos registrados de manera precisa dentro del sistema contable.</t>
  </si>
  <si>
    <t>Desempeño = No entradas y salidas de bienes - No eventos materializados / No entradas y salidad de bienes * 100</t>
  </si>
  <si>
    <t>Económico</t>
  </si>
  <si>
    <t>Deterioro de los activos públicos</t>
  </si>
  <si>
    <t>Prácticas deficientes o negligencia en el mantenimiento, así como la carencia de directrices para su adecuada conservación</t>
  </si>
  <si>
    <t>Posibilidad de riesgo económico debido al deterioro de los activos públicos, originado por prácticas deficientes o negligencia en el mantenimiento, así como la carencia de directrices para su adecuada conservación.</t>
  </si>
  <si>
    <t>Daños activos fijos</t>
  </si>
  <si>
    <t xml:space="preserve">     Entre 100 y 500 SMLMV </t>
  </si>
  <si>
    <t>El líder del Subproceso o su designado supervisará la ejecución de mantenimientos correctivos de equipos o mobiliario mediante contratación externa, garantizando que los proveedores contratados cumplan con los estándares de calidad y tiempos establecidos.</t>
  </si>
  <si>
    <t>No. Mantenimientos correctivos realizados / No. de solicitudes de mantenimiento</t>
  </si>
  <si>
    <t>El líder del Subproceso o quien delegue, realizará los mantenimientos preventivos necesarios a los equipos o muebles según su tipología.</t>
  </si>
  <si>
    <t>No. Mantenimientos preventivos realizados / No. Mantenimientos programados</t>
  </si>
  <si>
    <t>Gestión Documental</t>
  </si>
  <si>
    <t>Gestión, trámite y control documental</t>
  </si>
  <si>
    <t>Instruir a las dependencias de la Alcaldía de San José de Cúcuta en las actividades administrativas, técnicas y tecnológicas propias de la gestión documental, así como administrar el archivo central, con el propósito de garantizar la organización, consulta y conservación de la memoria institucional en la Entidad.</t>
  </si>
  <si>
    <t>Aplica para todos los procesos de la Entidad, siendo la Política de Gestión Documental transversal en su aplicación e implementación en el interior de la Alcaldía de San José de Cúcuta</t>
  </si>
  <si>
    <t>Identificación por parte de entes de control de hallazgos</t>
  </si>
  <si>
    <t>Deterioro y/o pérdida de expedientes documentales de gestión</t>
  </si>
  <si>
    <t>Posible riesgo reputacional debido a la identificación por parte de entes de control de hallazgos relacionados con el deterioro y/o pérdida de expedientes documentales de gestión.</t>
  </si>
  <si>
    <t>El líder del Subproceso o quien delegue, realiza capacitaciones a las dependencias en el tema de organización de archivos de gestión y el Sistema de Conservación de los Documentos, como mínimo una vez al año.</t>
  </si>
  <si>
    <t>Capacitaciones realizadas / Capacitaciones programadas</t>
  </si>
  <si>
    <t>El líder del Subproceso o quien delegue, como mínimo una vez al año, realizará monitoreo a la aplicación de las Tablas de Retención Documental - TRD en las dependencias, emitiendo las recomendaciones necesarias para su cumplimiento.</t>
  </si>
  <si>
    <t>Mesas técnicas realizadas / Mesas técnicas programadas</t>
  </si>
  <si>
    <t>Quejas de las partes interesadas</t>
  </si>
  <si>
    <t>Desorganización, falta de clasificación y un archivo de gestión inadecuado de los documentos</t>
  </si>
  <si>
    <t>Posibilidad de riesgo reputacional debido a quejas de las partes interesadas provocadas por desorganización, falta de clasificación y un archivo de gestión inadecuado de los documentos.</t>
  </si>
  <si>
    <t>El líder del Subproceso o quien delegue, realiza capacitaciones de los lineamientos de Gestión Documental, dirigido a las dependencias y sus responsables de archivo, como mínimo una vez al año.</t>
  </si>
  <si>
    <t>Gestión y Desarrollo del Talento Humano</t>
  </si>
  <si>
    <t>Obligaciones Pensionales</t>
  </si>
  <si>
    <t>Atender los requerimientos para el reconocimiento de los derechos pensionales y sus temas relacionados.</t>
  </si>
  <si>
    <t>Aplica para los funcionarios y exfuncionarios de la Alcaldía, frente a la resolución de solicitudes relacionadas con los derechos pensionales y temas relacionados.</t>
  </si>
  <si>
    <t>Sanciones impuestas por entes de control o entidades judiciales</t>
  </si>
  <si>
    <t>Reconocimiento o pago indebido de cuotas partes, bonos pensionales, auxilios funerarios y pensiones de sobreviviente a personas que no cumplen los requisitos legales</t>
  </si>
  <si>
    <t>Posible riesgo económico y reputacional debido a sanciones impuestas por entes de control o entidades judiciales, resultantes del reconocimiento o pago indebido de cuotas partes, bonos pensionales, auxilios funerarios y pensiones de sobreviviente a personas que no cumplen los requisitos legales.</t>
  </si>
  <si>
    <t>El profesional delegado por el jefe de la Oficina de Pesiones, verifica los soportes administrativos de vinculación laboral con la Alcaldìa Municipal de San Jose de Cúcuta, para dar respuesta en los términos de Ley, de la aceptación y/o reconocimiento del derecho pensional.</t>
  </si>
  <si>
    <t>No. de solicitudes con respuesta / No. solicitudes asignadas a la oficina</t>
  </si>
  <si>
    <t>El profesional delegado por el jefe de la Oficina de Pesiones realizará capacitaciones a los servidores publicos vinculados a la Oficina de Pensiones, de acuerdo al Decreto 0527 de 28 de Mayo de 2019 Código de Integridad del Servicio Público, como mínimo una vez al año.</t>
  </si>
  <si>
    <t>No. De capacitaciones realizadas / No. De capacitaciones programadas</t>
  </si>
  <si>
    <t>Gestión y Desarrollo Humano</t>
  </si>
  <si>
    <t>Establecer, implementar y evaluar los planes, programas, proyectos y las estrategias de talento humano que permitan promover el trabajo digno y el fortalecimiento institucional, de conformidad con las disposiciones legales vigentes.</t>
  </si>
  <si>
    <t xml:space="preserve">Inicia con la determinación de las necesidades de personal a través de la vinculación del talento humano y finaliza con el retiro de los servidores públicos de la entidad. </t>
  </si>
  <si>
    <t xml:space="preserve"> Sanciones fiscales impuestas por organismos judiciales o demandas de las partes interesadas</t>
  </si>
  <si>
    <t>Errores u omisiones en la verificación del cumplimiento de requisitos (experiencia y educación) por parte de los aspirantes, en contraposición con lo establecido en el manual de funciones</t>
  </si>
  <si>
    <t>Posible riesgo económico debido a sanciones fiscales impuestas por organismos judiciales o demandas de las partes interesadas, originadas por errores u omisiones en la verificación del cumplimiento de requisitos (experiencia y educación) por parte de los aspirantes, en contraposición con lo establecido en el manual de funciones.</t>
  </si>
  <si>
    <t xml:space="preserve">     Entre 50 y 100 SMLMV </t>
  </si>
  <si>
    <t>Moderado</t>
  </si>
  <si>
    <t>El profesional delegado por el líder del Subproceso de Gestión y Desarrollo Humano debe verificar el cumplimiento  de los requisitos para el ingreso o retiro (experiencia y educación) descritos en el Manual de Funciones de los postulados a los diferentes cargos de la entidad.</t>
  </si>
  <si>
    <t>No total de requerimientos o novedades sobre el total de funcionarios</t>
  </si>
  <si>
    <t>Probabilidad</t>
  </si>
  <si>
    <t>40%</t>
  </si>
  <si>
    <t>Baja</t>
  </si>
  <si>
    <t/>
  </si>
  <si>
    <t>Sanciones impuestas por organismos judiciales o demandas de las partes interesadas</t>
  </si>
  <si>
    <t>Errores u omisiones en la publicación de los requisitos de las vacantes definitivas de empleo de carrera administrativa</t>
  </si>
  <si>
    <t>Posible riesgo económico debido a sanciones impuestas por organismos judiciales o demandas de las partes interesadas debido a errores u omisiones en la publicación de los requisitos de las vacantes definitivas de empleo de carrera administrativa.</t>
  </si>
  <si>
    <t>Mayor</t>
  </si>
  <si>
    <t>Alto</t>
  </si>
  <si>
    <t>El profesional delegado por la Subsecretaria Administración de Talento Humano debe monitorear la  publicación de las vacantes en el aplicativo SIMO 4.0 una vez se cuente con el acto administrativo que notifica la vacancia definitiva de dicho empleo mensualmente.</t>
  </si>
  <si>
    <t>No. de Vacantes publicadas</t>
  </si>
  <si>
    <t>Eventualidad de Fuga de conocimiento</t>
  </si>
  <si>
    <t>Ausencia de procedimientos que garanticen la institucionalización del conocimiento</t>
  </si>
  <si>
    <t>Posible riesgo reputacional debido a la eventualidad de Fuga de conocimiento debido a la ausencia de procedimientos que garanticen la institucionalización del conocimiento.</t>
  </si>
  <si>
    <t>Implementación del formato de retención del conocimiento al momento de la salida del funcionario público.</t>
  </si>
  <si>
    <t>Formato de retención del conocimiento diligenciado</t>
  </si>
  <si>
    <t>Establecimiento de procedimientos para garantizar la gestión efectiva del conocimiento.</t>
  </si>
  <si>
    <t>No. De procedimientos establecidos</t>
  </si>
  <si>
    <t>Seguridad y Salud en el Trabajo</t>
  </si>
  <si>
    <t>Establecer, implementar, mantener y mejorar continuamente el Sistema de Gestión de Seguridad y Salud en el Trabajo, previniendo la ocurrencia de accidentes y enfermedades laborales, a través de mecanismos de promoción, prevención y mejora continua, logrando mantener la eficacia del Sistema de Gestión de Seguridad y Salud en el Trabajo, estilos de vida y de trabajo saludable de los Servidores Públicos de la Alcaldía de San José de Cúcuta.</t>
  </si>
  <si>
    <t>Inicia con la identificación de peligros, evaluación y valoración de riesgos, el cumplimiento de los requisitos legales, hasta la implementación de programas, controles operativos y las acciones necesarias para la mejora continua del desempeño del Sistema de Gestión en Seguridad y Salud en el Trabajo (SGSST) de la Alcaldía de San José de Cúcuta.</t>
  </si>
  <si>
    <t>Demandas o sanciones disciplinarias o fiscales por parte de partes interesadas u organismos judiciales</t>
  </si>
  <si>
    <t xml:space="preserve"> Deficiencias o incumplimientos en los lineamientos para la investigación de los accidentes de trabajo reportados</t>
  </si>
  <si>
    <t>Posibilidad de riesgo económico debido a demandas o sanciones disciplinarias o fiscales por parte de partes interesadas u organismos judiciales, como resultado de deficiencias o incumplimientos en los lineamientos para la investigación de los accidentes de trabajo reportados.</t>
  </si>
  <si>
    <t>El profesional delegado por el Líder del Subproceso de Seguridad y Salud en  el Trabajo (SST) realizará Trimestralmente  capacitaciones a los servidores públicos de los canales y medios de reportes de incidentes y accidentes de trabajo que se presenten.</t>
  </si>
  <si>
    <t>El profesional delegado por el Líder del Subproceso de Seguridad y Salud en  el Trabajo (SST)  verifica,  analiza e investiga los incidentes y/o accidentes en el momento que se presenten cumpliendo con la normatividad vigente y aplicable.</t>
  </si>
  <si>
    <t>No. Incidentes y/o accidentes analizados e investigados / Total de incidentes y accidentes reportados</t>
  </si>
  <si>
    <t>DESARROLLO ECONOMICO</t>
  </si>
  <si>
    <t>EMPLEABILIDAD Y FORTALECIMIENTO EMPRESARIAL / PRODUCTIVIDAD Y COMPETITIVIDAD</t>
  </si>
  <si>
    <t>Desconocimiento del usuario sobre los procesos y/o programas de la secretaría</t>
  </si>
  <si>
    <t>Desarticulaculación entre el plan de comunicación y los programas ofertados</t>
  </si>
  <si>
    <t>Posibilidad de deprimento economico debido que se desconocen los procesos y/o programas de la secretaría por la desarticulacion entre el plan de comunicaciones y los programas ofertados</t>
  </si>
  <si>
    <t>Relaciones laborales</t>
  </si>
  <si>
    <t>El funcionario de la Secretaría del Banco del Progreso encargado del area de comunicaciones, deberá diseñar e implementar una estrategia de divulgación de la información relacionada con los programas que oferta la secretaría del banco del progreso en los canales de comunicación.</t>
  </si>
  <si>
    <t>Evitar</t>
  </si>
  <si>
    <t>Aceptar</t>
  </si>
  <si>
    <t>Area Comunicaciones</t>
  </si>
  <si>
    <t>Enero</t>
  </si>
  <si>
    <t>Diciembre</t>
  </si>
  <si>
    <t>Trimestral</t>
  </si>
  <si>
    <t>En curso</t>
  </si>
  <si>
    <t>El funcionario de la Secretaría del Banco del Progreso encargado del area de ofertar los servicios, deberá diseñar e implementar una estrategia de divulgación de la información relacionada con los programas de la secretaría del banco del progreso en las oficinas y jornadas que se desarrollan por la secretaria</t>
  </si>
  <si>
    <t>Sin Registro</t>
  </si>
  <si>
    <t>Debilidad en los controles para la verificacion  procesos de  contratación vigentes.</t>
  </si>
  <si>
    <t xml:space="preserve">Desconocimiento del manual de procesos y procedimientos </t>
  </si>
  <si>
    <t>Posibilidad de uso indebido de la informacion en los procesos de contratacion vigentes, en la etapa precontractual por parte de un (os) funcionario (os) del proceso  por el desconocimiento del manual de procesos y procedimientos en busca de beneficio propio o de un tercero.</t>
  </si>
  <si>
    <t>Media</t>
  </si>
  <si>
    <t>Actualizar los procesos, capacitacion a funcionarios y/o personal a cargo de la contratación en relación con buenas prácticas, compromisos de confidencialidad y de la normatividad aplicadad a cada procesos de contratación pública</t>
  </si>
  <si>
    <t>area administrativa</t>
  </si>
  <si>
    <t>Mensual</t>
  </si>
  <si>
    <t>El funcionario de la Secretaria del banco del progreso encargado, hara revision minuciosa de los requisitos contractuales de los proveedores con conocimiento y responsabilidad; dejando como registro la hoja de ruta contractual o lista de cheque del proceso contractual.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</si>
  <si>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</si>
  <si>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</si>
  <si>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GESTION DE HACIENDA</t>
  </si>
  <si>
    <t>CONTABILIDAD</t>
  </si>
  <si>
    <t>Garantizar la gestión financiera y económica de la alcaldía de san José de Cúcuta, para lograr la solidez, que permita cumplir con todos los compromisos adquiridos y manteniendo información oportuna, clara, veraz y fidedigna para la toma de decisiones.</t>
  </si>
  <si>
    <t xml:space="preserve">Inicia con contabilización, registro y consolidación de las operaciones económicas y financieras, hasta la rendición de informes. </t>
  </si>
  <si>
    <t>Observacion, la cual termine siendo un  Hallazgo. Efecto ocasionado por auditoria realizada por el  Ente de Control</t>
  </si>
  <si>
    <t xml:space="preserve">Debido al incumplimiento del Marco Conceptual y el Manual de Politicas Contables del Municipio. </t>
  </si>
  <si>
    <t>La probabilidad de que en el procedimiento de Provisiones de Sentencias, Litigios y Demandas se genere una observación (económica y/o reputacional), la cual termine siendo un hallazgo. Esto debido al incumplimiento en el Marco Conceptual, y el Manual de Políticas Contables del Municipio.
Marco Conceptual: Resolución No. 122 de 2020 “Por la cual se reglamenta la rendición de cuenta electrónica para todos los sujetos y puntos de control de la Contraloría Municipal de Cúcuta” - formato F01_AGR Catalogo de Cuentas y sus Anexos.</t>
  </si>
  <si>
    <t xml:space="preserve">Como el Procedimiento nace de una información transversal, generada por la Oficina Asesora Jurídica, por lo mismo se involucra como medida la necesidad de que el Servidor Público del Área de la Oficina Asesora Jurídica encargado; Genere el informe que va dirigido a la Subsecretaria de Contaduría. Que actualmente es una hoja de cálculo de nombre (Informe de Provisiones de Sentencias, Litigios y demandas. Mensualizado) </t>
  </si>
  <si>
    <t>Numero de Informes presentados  12 / 12 los meses del año</t>
  </si>
  <si>
    <t>La Subsecretaria de Contaduria, adelantara oficios, mesas de trabajo.</t>
  </si>
  <si>
    <t>Servidores Publicos de las dependencias: Oficina Asesora Juridica y la Subsecretaria de Contaduria</t>
  </si>
  <si>
    <t xml:space="preserve">Oficios, Mesas de trabajo, Actas de seguimiento a compromisos </t>
  </si>
  <si>
    <t>La acción a efectuar como control, nace en el compromiso del Servidor Público del Área de la Oficina Asesora Jurídica, encargado de la realización del informe a los anexos que componen el Formato F01_AGR Catalogo de Cuentas y sus Anexos:
 Variaciones de Litigios y Demandas
 Conciliaciones de Litigios y Demandas
 Certificación del Cálculo del Pasivo Contingente
 Relación Certificada de los Procesos en Contra de la Entidad que incluya el monto tasado de las Pretensiones
 Relación de Sentencias en firme a Favor o en Contra de la Entidad durante la vigencia que se rinde, indicando el valor a cancelar el Beneficiario.
 Relación y Monto de Sentencias pagadas durante la Vigencia.</t>
  </si>
  <si>
    <t xml:space="preserve">Numero de Anexos presentados 6 / 6 numero de anexos  </t>
  </si>
  <si>
    <t>Servidores Publicos de las dependencias: Oficina Asesora Juridica, Oficina de Almacen, Oficina de Control interno de Gestión y la Subsecretaria de Contaduria</t>
  </si>
  <si>
    <t xml:space="preserve">Oficios, Mesas de trabajo, Actas de seguimiento a compromisos. Cumplimiento en la presentacion oportuna según resolucion # 0122 de 2020 del 30 de diciembre de 2020. </t>
  </si>
  <si>
    <t>La posibilidad de que el procedimiento de conciliaciones bancarias el cual hace parte del Efectivo y Equivalente al Efectivo genere una afectación (económica y/o reputacional) representada como una observación la cual culmina siendo un hallazgo. Esto debido al incumplimiento en el Marco Conceptual, y el Manual de Políticas Contables del Municipio.</t>
  </si>
  <si>
    <t>El procedimiento se establece como un control financiero interno, en el tema de Efectivo y Equivalente al Efectivo. El cual nace de información transversal, generada de manera mensual por el Servidor Público en cargado en la Secretaria del Tesoro. En la actualidad se allega a la Subsecretaria de Contaduría los Extractos Bancarios y una hoja de cálculo con información de Elementos de los Estados Financieros. De nombre Efectivo y Equivalente al Efectivo.</t>
  </si>
  <si>
    <t>Reducir (compartir)</t>
  </si>
  <si>
    <t>Servidores Publicos de las dependencias: Secretaria del Tesoro y Subsecretaria de Contaduria</t>
  </si>
  <si>
    <t>La acción a efectuar como control, nace en el compromiso del Servidor Público de la Secretaria del Tesoro, encargado de la realización del informe antes descrito y la conciliación mensual debida entre los saldos de las cuentas bancarias en los dos módulos de Tesorería y Contabilidad que se encuentran en el Software Contable actual.</t>
  </si>
  <si>
    <t>Automático</t>
  </si>
  <si>
    <t>Espacio
inadecuado sin
seguridad, para el
manejo, control y
seguimiento de
expedientes
disciplinarios,puesto que el archivo no cumple con los requisitos de la Ley de Archivo</t>
  </si>
  <si>
    <t xml:space="preserve"> Insuficiente e
inadecuado espacio
físico para el
manejo y custodia
de los expedientes
disciplinarios</t>
  </si>
  <si>
    <t xml:space="preserve">Posibilidad de pérdida de expedientes
disciplinarios y/o piezas procesales,
debido a el Espacio inadecuado sin
seguridad  y por no contar con una persona de planta con conocimiento de la ley de archivo para  que haga inventario constante del estado  de los expedientes en la oficina de Contral Interno Disciolinario. </t>
  </si>
  <si>
    <t xml:space="preserve">     Genera consecuencias catastroficas sobre la entidad</t>
  </si>
  <si>
    <t>El servidor público designado por el Jefe de la Oficina de Control Interno Disciplinario, controlará y validará mediante inventarios de los expedientes asignados a cada uno de los abogados para el trámite de sustanciación y custodia y se debe llevar un orden de los expedientes   que son adjudicados a los abogados en una bitacora para de la entrada y salida del expediente.</t>
  </si>
  <si>
    <t xml:space="preserve">NUMEROS DE INFORMES PRESENTADOS </t>
  </si>
  <si>
    <t>MANUAL</t>
  </si>
  <si>
    <t>CON REGISTRO</t>
  </si>
  <si>
    <t>MAPA DE RIESGOS INSTITUCIONAL - SECRETARÍA DE VALORIZACIÓN Y PLUSVALÍA</t>
  </si>
  <si>
    <t>Desarrollo Territorial</t>
  </si>
  <si>
    <t>Instrumentos de gestión y valorización.</t>
  </si>
  <si>
    <t>Formular, orientar, coordinar y/o acompañar las politicas, planes y programas que soportan las operaciones administrativas de calculo, liquidación, distribución, asignación y cobro de la contribución de valorización y de la participación en plusvalía.</t>
  </si>
  <si>
    <t>Inicia con la gestión del sistema de contribución de valorización, y a su vez la gestión de Participación en Plusvalía, con el fin de lograr el financiamiento del Ordenamiento Territorial de la ciudad de Cúcuta.</t>
  </si>
  <si>
    <t>Debido a  la desactualización de la base catastral.</t>
  </si>
  <si>
    <t>Carencia de información sobre las resoluciones de segregación emitadas  por la Secretaría de Hacienda.</t>
  </si>
  <si>
    <t>Posibilidad de afectacion economica debido a  la desactualización de la base catastral, por la carencia de informacion sobre las resoluciones de segregación emitadas  por la Secretaría de Hacienda.</t>
  </si>
  <si>
    <t>Financieros</t>
  </si>
  <si>
    <t xml:space="preserve">     Afectación menor a 10 SMLMV</t>
  </si>
  <si>
    <t>Solicitud de la base catastral actualizada, dirigida a la Secretaría de Hacienda con copia a la oficina de catastro multipropósito.</t>
  </si>
  <si>
    <t xml:space="preserve">Número de solicitudes enviadas a la Secretaría de Hacienda/ numero de solicitudes programadas. </t>
  </si>
  <si>
    <t>Debido a la inadecuada custodia del archivo generado y recepcionado por la dependecia</t>
  </si>
  <si>
    <t>El personal de trabajo no realiza la entrega periódicamente de la documentación generada al responsable del archivo.</t>
  </si>
  <si>
    <t>Posibilidad de afectación reputacional debido a la inadecuada custodia del archivo generado y recepcionado por la dependecia por el desconocimiento de normas archivisticas y carencia de insumos.</t>
  </si>
  <si>
    <t xml:space="preserve">El profesional contratista solicitará al area de almacen los insumos requeridos para la adecuada custodia del archivo generado por la dependencia.
</t>
  </si>
  <si>
    <t>Número de solicitudes enviadas/ numero de solicitudes programadas.</t>
  </si>
  <si>
    <t>El profesional contratista responsable del proceso de Archivo solicitará capacitación a todo el equipo de trabajo para el adecuado manejo de la Gestión Documental.</t>
  </si>
  <si>
    <t>Número de capacitaciones realizadas/número de capacitaciones programadas.</t>
  </si>
  <si>
    <t>Debido al débil seguimiento y gestión oportuna de cobro persuasivo.</t>
  </si>
  <si>
    <t>La dependencia no cuenta con procedimientos para el seguimiento y cobro persuasivo.</t>
  </si>
  <si>
    <t>Posibilidad de efecto dañoso sobre intereses patrimoniales de naturaleza pública, por saldos o recursos a favor no gestionados por la secretaría de valorización y plusvalía por el débil seguimiento y gestión oportuna del cobro persuasivo por concepto de valorización.</t>
  </si>
  <si>
    <t>Riesgo Fiscal</t>
  </si>
  <si>
    <t>Establecer el procedimiento de seguimiento y cobro persuasivo por concepto de valorización.</t>
  </si>
  <si>
    <t>1 documento elaborado e institucionalizado.</t>
  </si>
  <si>
    <t>Implementar el procedimiemto de seguimiento y cobro persuasivo por concepto de valorización.</t>
  </si>
  <si>
    <t>Número de personas informadas y/o comunicadas por cobro persuasivo.</t>
  </si>
  <si>
    <t xml:space="preserve">MISIONAL- EJECUCIÓN DE PROYECTOS </t>
  </si>
  <si>
    <t>GESTION DE LA INFRAESTRUCTURA</t>
  </si>
  <si>
    <t>Ejecutar los estudios, diseños y obras de infraestructura y medio ambiente en cumplimiento de los planes, programas y proyectos establecidos en el Plan de Desarrollo y Plan de Ordenamiento Territorial</t>
  </si>
  <si>
    <t>Con la identificación de problemáticas, necesidades, estableciendo métodos ajustados a un presupuesto real con el fin de conllevar soluciones óptimas generadas a través de la planeación en las actividades de infraestructura y medio ambiente.</t>
  </si>
  <si>
    <t>Acceso, manipulación o adulteración de información por terceros</t>
  </si>
  <si>
    <t xml:space="preserve">Incumplimiento de los lineamientos establecidos para la seguridad de la información </t>
  </si>
  <si>
    <t>Posibilidad de afectación del presupuesto por el acceso, manipulación o adulteración de  información por terceros a la Secretaría por el incumplimiento de los lineamientos establecidos</t>
  </si>
  <si>
    <t>En la etapa contractual, el asesor jurídico supervisará la evaluación  financiera  de los procesos llevados a cabo por la Secretaría de Infraestructura teniendo en cuenta  el formato  establecido  por la dependencia acorde a los lineamientos de Colombia Compra Eficiente y el manual de contratación del Municipio de San José de Cúcuta.</t>
  </si>
  <si>
    <t>Cantidad de procesos sin verificación de check list sobre cantidad de contratos estructurados</t>
  </si>
  <si>
    <t>Incumplimiento en los términos perentorios a las solicitudes de los ciudadanos y/o terceros</t>
  </si>
  <si>
    <t>Poca capacidad de respuesta a las PQRSDF recibidas</t>
  </si>
  <si>
    <t>Posibilidad de afectación reputacional por incumplir los términos perentorios establecidos a los PQRSDF radicados por los ciudadanos y/o terceros debido a la poca capacidad de respuesta.</t>
  </si>
  <si>
    <t>Para la atención de solicitudes, el profesional asignado deberá generar informes de seguimiento y control de todas las PQRSD apoyándose en el reporte obtenido por la plataforma de gestión documental orfeo.</t>
  </si>
  <si>
    <t>No De PQRSD contestadas / No PQRSD recibidas.</t>
  </si>
  <si>
    <t>Incumplimiento en los tiempos de ley para gestionar respuestas a decisiones judiciales</t>
  </si>
  <si>
    <t>Inexactitud en los tiempos de respuesta a solicitud de los Ciudadanos</t>
  </si>
  <si>
    <t>Posibilidad de afectación reputacional por incumplir los términos de ley establecidos a las decisiones judiciales radicadas por los juzgados debido a la poca capacidad de respuesta.</t>
  </si>
  <si>
    <t>Para la atención de decisiones judiciales que sea competencia del despacho, el profesional asignado deberá generar informes de seguimiento y control de todas las decisiones, atendidas en los tiempos de ley teniendo en  cuenta el procedimiento interno de la dependencia y lo ordenado por los juzgados.</t>
  </si>
  <si>
    <t>No de decisiones judiciales recibidas/ No de decisiones judiciales contestadas</t>
  </si>
  <si>
    <r>
      <rPr>
        <b/>
        <sz val="11"/>
        <color theme="1"/>
        <rFont val="Calibri"/>
      </rPr>
      <t xml:space="preserve">*Nota: </t>
    </r>
    <r>
      <rPr>
        <sz val="11"/>
        <color theme="1"/>
        <rFont val="Calibri"/>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</si>
  <si>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     Genera altas consecuencias sobre la entidad</t>
  </si>
  <si>
    <t xml:space="preserve">Respuestas tardias a las PQRSDF y/o inexistentes </t>
  </si>
  <si>
    <t xml:space="preserve">Desconocimiento de los tiempos de respuesta a las PQRDSF contemplados en la normatividad </t>
  </si>
  <si>
    <t>Posibilidad de la perdida de la imagen institucional con respuestas tardías y/o inexistentes de los PQRDSF que conllevan a sanciones, debido a la falta de conocimiento del personal encargado sobre la normatividad vigente</t>
  </si>
  <si>
    <t>El secretario solicita la capacitación a la oficina TICs sobre el manejo de la plataforma ORFEO para el buen manejo de los PQRSDF.</t>
  </si>
  <si>
    <t>Número de capacitaciones realizadas / número de capacitaciones programadas</t>
  </si>
  <si>
    <t>Los profesionales de apoyo en el manejo de la plataforma ORFEO, realiza el seguimiento mensual del estado de los PQRSDF con el formato de seguimiento V3</t>
  </si>
  <si>
    <t>Número de seguimientos realizados / número de seguimientos programados</t>
  </si>
  <si>
    <t>conllevan a realizar procesos donde las fuenets y los usos no son aplicados de acuerdo a la norma</t>
  </si>
  <si>
    <t>Debido al desconocimiento de las acciones financieras</t>
  </si>
  <si>
    <t>Posibilidad de afectación reputacional por el desconocimiento de las acciones financieras de los servidores públicos que conllevan a realizar procesos donde las fuentes de financiación y los usos no son aplicados de acuerdo a la norma</t>
  </si>
  <si>
    <t>La actividad que conlleva el riesgo se ejecuta como máximos 2 veces por año</t>
  </si>
  <si>
    <t xml:space="preserve">     El riesgo afecta la imagen de alguna área de la organización</t>
  </si>
  <si>
    <t>El asesor jurídico de contratación establecerá los lineamientos para realizar los procesos de contración y se apoyará en el equipo de proyectos para coordinar en debida forma el proceso de programación de la inversión dejando como evidencia el concepto jurídico respectivo</t>
  </si>
  <si>
    <t xml:space="preserve"># solicitudes / # de conceptos jurídicos emitidos </t>
  </si>
  <si>
    <t xml:space="preserve">MISIONAL </t>
  </si>
  <si>
    <t>GESTIÓN DEL RIESGO</t>
  </si>
  <si>
    <t xml:space="preserve">Coordinar la revisión del informe de Seguimiento al Mapa de Riesgos de Corrupción y seguimiento a las actividades desarrolladas para la vigencia 2024. </t>
  </si>
  <si>
    <t>Seguimiento a las acciones programadas para la vigencia 2024 y verificacion de los controles de cumplimiento y efectividad dentro del componente del plan anticorrupción y de atención al ciudadano a cargo de la Secretaria Municipal para la Gestión del Riesgo de Desastres.</t>
  </si>
  <si>
    <t>Documentacion incompleta en el desarrollo de los procesos contractuales</t>
  </si>
  <si>
    <t>Faltantes en la documentación requerida para el desarrollo de los procesos contractuales</t>
  </si>
  <si>
    <t xml:space="preserve"> El lider profesional contratista es el responsable  de revisar los documentos precontractuales, contractuales y propuestas,  y verificar los check list de los procesos contractuales </t>
  </si>
  <si>
    <t xml:space="preserve">Check list expedientes contractuales = # / Procesos contractuales desarrollados= # 100% </t>
  </si>
  <si>
    <t>Formulacion plan de mejoramiento con el equipo de calidad, control y seguimiento</t>
  </si>
  <si>
    <t># Planes de Mejoramiento / # Hallazgos = %</t>
  </si>
  <si>
    <t>Profesionales no idoneos para el desarrollo de visitas tecnicas</t>
  </si>
  <si>
    <t>Inconsistencias en la informacion obtenida de  las visitas técnicas de inspeccion</t>
  </si>
  <si>
    <t>Revision de informes tecnicos por parte de profesionales idoneos adscritos a la Secretaria Municipal para la Gestión del Riesgo de Desastres</t>
  </si>
  <si>
    <t>Informes técnicos desarrollados = # / Informes técnicos revisados y archivados = # = 100%</t>
  </si>
  <si>
    <t>Reputación y economico</t>
  </si>
  <si>
    <t>Sanciones, tutelas,  multas, desacato y/o negligencia</t>
  </si>
  <si>
    <t>Incumplimiento en los términos de respuesta de PQRSDF por desconocimiento en los tiempos de respuesta</t>
  </si>
  <si>
    <t>Afectación en la imagen de la entidad y afectación economica por  los PQRSDF que radican los ciudadanos y no se da respuesta oportuna.</t>
  </si>
  <si>
    <t>La secretaria de gobierno recbe en promedio 800 PQRSDF mensuales es un equivalente a una aproximado de 9600 al año</t>
  </si>
  <si>
    <t>La oficina de ventanilla unica los primeros cinco días de cada mes envia informe de los PQRSDF adscritos a la secretaria de Gobierno y subsecretaria de concertación ciudadana.</t>
  </si>
  <si>
    <t>N° de pqrsdf recibidas / N° de pqrsdf resueltas</t>
  </si>
  <si>
    <t>Ventanilla Única validará con cada una de las dependencias, el estado de las PQRSDF, consolidando los compromisos de cada dependencia para cumplir los términos</t>
  </si>
  <si>
    <t>Responsable de seguimiento a PQRSDF en la secretaria de gobierno municipal</t>
  </si>
  <si>
    <t>Se hará seguimiento continuo mensualmente</t>
  </si>
  <si>
    <t>Mensualmente la persona encargada de seguimiento a PQRSDF de la secretaria realiza seguimiento y envio de alertas</t>
  </si>
  <si>
    <t xml:space="preserve">SALUD Y PROTECCION SOCIAL </t>
  </si>
  <si>
    <t xml:space="preserve">IDENTIFICAR Y CLASIFICAR EL RIESGO </t>
  </si>
  <si>
    <t>DISMINUIR EL RIESGO</t>
  </si>
  <si>
    <t>El procedimiento no se encuentra actualizado o no se realiza</t>
  </si>
  <si>
    <t xml:space="preserve">falta el principio de planeacion </t>
  </si>
  <si>
    <t xml:space="preserve">Probabilidad de investigaciones que puedan generar algun tipo de sansion disciplinaria o penales para la entidad,  afectacion en la oportunidad y cumplimiento en las priorizaciones del territorio, las cuales son identificadas dentro del plan  territorial  de salud - PAS y son para el mejoramiento de las condiciones de la poblacion en general. aunque existe un procedimiento documentado, no existen  controles o alertas para toma de decisiones.  </t>
  </si>
  <si>
    <t xml:space="preserve">     Genera medianas consecuencias sobre la entidad</t>
  </si>
  <si>
    <t xml:space="preserve">Formulacion, seguimiento y evaluacion de los PLANES DE ACCION EN SALUD por parte de las SUBSECRETARIAS que conforman la secretraria de salud </t>
  </si>
  <si>
    <t xml:space="preserve">PAS formulados con seguimiento y evaluacion / Total PAS por ejes </t>
  </si>
  <si>
    <t>SUBSECRETARIA DE PLANEACION EN SALUD</t>
  </si>
  <si>
    <t>31 DE ENERO 2024</t>
  </si>
  <si>
    <t>TRIMESTRAL</t>
  </si>
  <si>
    <t xml:space="preserve">Contratacion oportuna de todas las necesidades proyectas dentro de los PLANES DE ACCION EN SALUD </t>
  </si>
  <si>
    <t xml:space="preserve">Recurso ejecutado  ( personal o bienes y servicios)  / Recursos programado  </t>
  </si>
  <si>
    <t>AREA DE CONTRATACION DESPACHO</t>
  </si>
  <si>
    <t>FECHA SIN DEFINIR</t>
  </si>
  <si>
    <t xml:space="preserve">el asesor financiero de la secretaria de salud debe Realizar Informe, presentacion y socializacion de  EJECUCION PRESUPUESTAL FONDO LOCAL DE SALUD (SGP-COLJUEGOS-TRANFERENCIAs) y su % de avance   el cual se realiza trimestralmente  en donde se evidencie las alertas sobre  incumplimiento, si existe,  de las programaciones y el cumplimiento de las mismas establecidos en los PAS del año en curso.  </t>
  </si>
  <si>
    <t xml:space="preserve">Recursos programados / Recursos comprometidos </t>
  </si>
  <si>
    <t>ASESOR FINANCIERO</t>
  </si>
  <si>
    <t>Autorizar pagos previos a febrero de 2020</t>
  </si>
  <si>
    <t>Omision del control sobre la  facturacion y servicios no aplicables de poblacion pobre no asegurada</t>
  </si>
  <si>
    <t>Posibilidad de generar riesgo fiscal  Por la autorizacion de pagos previos a febrero de 2020 debido a la omision del control sobre la  facturacion y servicios no aplicables de poblacion pobre no asegurada</t>
  </si>
  <si>
    <t xml:space="preserve">Gestionar por parte del area de Aseguramiento y auditoria los  los paz y salvos  y consiliaciones a las IPS . </t>
  </si>
  <si>
    <t>Numero de consilicaciones / total de IPS auditadas</t>
  </si>
  <si>
    <t>SUBSECRETARIA DE ASEGURAMIENTO</t>
  </si>
  <si>
    <t>verificar el  ESTADOS de los pagos ya consiliados con las IPS. ( ACTAS DE ESAS VISITAS)</t>
  </si>
  <si>
    <t xml:space="preserve">ACTAS DE PAGO </t>
  </si>
  <si>
    <t>CONTRATACION</t>
  </si>
  <si>
    <t>RECURSO FISICO Y APOYO LOGISTICO</t>
  </si>
  <si>
    <t>TRAMITE Y CONTROL DOCUMENTAL</t>
  </si>
  <si>
    <t>OBLIGACIONES PENSIONALES</t>
  </si>
  <si>
    <t>GESTION Y DESARROLLO HUMANO</t>
  </si>
  <si>
    <t>SEGURIDAD Y SALUD EN EL TRABAJO</t>
  </si>
  <si>
    <t>PETICIONES, QUEJAS, RECLAMOS, SUGERENCIAS Y DENUNCIAS</t>
  </si>
  <si>
    <t>Referencia</t>
  </si>
  <si>
    <t>ESTRATEGICO</t>
  </si>
  <si>
    <t>TECNOLOGIAS DE LA INFORMACIÓN Y LAS COMUNICACIONES</t>
  </si>
  <si>
    <t>Identificar y canalizar los posibles riesgos que se prsenten en el subproceso de la gestión de las tecnologias de la información y las comunicaciones.</t>
  </si>
  <si>
    <t>Inicia desde la identificación del riesgos hasta la aplicación de controles para la mitigación, reducción o aceptación del riesgo</t>
  </si>
  <si>
    <t>inadecuada gestión por la alta demanda de validaciones de hojas de vida del Sigep II</t>
  </si>
  <si>
    <t>Debido al desconocimiento de los procesos internos de la entidad.</t>
  </si>
  <si>
    <t>Posibilidad impacto de pérdida reputacional por la inadecuada gestión por la alta demanda de validaciones de hojas de vida del SIGEP II debido al desconocimiento de los procesos internos de la entidad.</t>
  </si>
  <si>
    <t xml:space="preserve">     El riesgo afecta la imagen de la entidad internamente, de conocimiento general, nivel interno, de junta dircetiva y accionistas y/o de provedores</t>
  </si>
  <si>
    <t>documento con el registro de las hojas de vida para ser validadas</t>
  </si>
  <si>
    <t>1 documento con el registro de hojas validadas en la entidad</t>
  </si>
  <si>
    <t>llevar un registo de las solicitudes enviadas para validaciones de hojas de vida</t>
  </si>
  <si>
    <t xml:space="preserve"># de solicitudes realizadas /# de solicitudes con respuesta </t>
  </si>
  <si>
    <t>Por la Intromisión de terceros en la sede electrónica de la entidad ocasionando la caída de la página web</t>
  </si>
  <si>
    <t>Debido a la falta de complementos de seguridad en la sede electrónica de la entidad.</t>
  </si>
  <si>
    <t>Posibilidad de impacto económico y reputacional por la Intromisión de terceros en la página web de la entidad debido a la falta de complementos de seguridad en la sede electrónica de la entidad.</t>
  </si>
  <si>
    <t>Tecnologico</t>
  </si>
  <si>
    <t>Implementar acciones para esteblcer controles de seguridad en la pagina web</t>
  </si>
  <si>
    <t># de acciones realziadas / # de acciones programadas</t>
  </si>
  <si>
    <t>Realizar un informe con las actividades realizadas encaminadas a la seguridad de la pagina web</t>
  </si>
  <si>
    <t>Oficina TIC</t>
  </si>
  <si>
    <t>Enero - abril</t>
  </si>
  <si>
    <t>Abril</t>
  </si>
  <si>
    <t>Cuatrimestral</t>
  </si>
  <si>
    <t>Implementar acciones para establecer controles de seguridad en la página web.</t>
  </si>
  <si>
    <t># de procedimeintos realizados</t>
  </si>
  <si>
    <t>Realizar y/o actualizar un documento que contenga las directirces de publicación en pagina web</t>
  </si>
  <si>
    <t>Posibilidad de que haya una especulación errada de la ciudadanía acerca de los diferentes proyectos que se realizan en la dependencia.</t>
  </si>
  <si>
    <t>Debido a la falta de comunicación y orientación a la comunidad.</t>
  </si>
  <si>
    <t>Posibilidad de impacto reputacional por la especulación errada de la ciudadanía acerca de los diferentes proyectos que se realizan en la dependencia, debido a la falta de comunicación con la comunidad.</t>
  </si>
  <si>
    <t>Realizar contenido publicitario acerca de los proyectos que se realizan en la oficina.</t>
  </si>
  <si>
    <t># de contenidos publicitarios realizados # de contenidos propuestos.</t>
  </si>
  <si>
    <t>Realizar videos con contenidos publiciatarios de la oferta institucional de la Oficina TIC</t>
  </si>
  <si>
    <t>Por el inadecuado uso de los sistemas de gestión documental a la hora de dar respuesta a las PQRSDF a los ciudadanos</t>
  </si>
  <si>
    <t>Debido a la falta de capacitación y seguimiento de los procesos del sistema implementado.</t>
  </si>
  <si>
    <t>Impacto reputacional por el inadecuado uso de los sistemas de gestión documental a la hora de dar respuesta a las PQRSDF a los ciudadanos debido a la falta de capacitación y seguimiento de los procesos del sistema implementado.</t>
  </si>
  <si>
    <t>Realizar capacitaciones en el manejo del sistema de gestión documental de la entidad.</t>
  </si>
  <si>
    <t># de capacitaciones realizadas# de capacitaciones programados.</t>
  </si>
  <si>
    <t>Capacitar al personal de la entidad en cuanto Sistema de Gestión Documental de la entidad.</t>
  </si>
  <si>
    <t>Posibilidad de multa o sanción a la entidad</t>
  </si>
  <si>
    <t>Por no rendir los informes a los entes de control en los tiempos establecidos.</t>
  </si>
  <si>
    <t>Posibilidad de impacto económico y reputacional por multa o sanción a la entidad, por no rendir los informes a los entes de control en los tiempos establecidos.</t>
  </si>
  <si>
    <t>Rendir anualmente los informes a SIA contraloría. Se realizó la rendición de informes anual en la plataforma SIA contraloría adjuntando todos los soportes y formatos enviados por las dependencias.</t>
  </si>
  <si>
    <t xml:space="preserve"># de informes realizados / # de informes rendidos </t>
  </si>
  <si>
    <t>Realizar las correpsondiente rendición en la plataforma de SIA Contraloria</t>
  </si>
  <si>
    <t>por inexistencia de información de manera oportuna para el funcionario que requiere
verificar si una obra tiene aprobada la licencia de construcción y con eso revisar el paquete de planos y la resolución de lo aprobado por curaduría,</t>
  </si>
  <si>
    <t xml:space="preserve">debido a que no existe una base de datos digital </t>
  </si>
  <si>
    <t>Posibilidad de afectación reputacional por inexistencia de información de manera oportuna para el funcionario que requiere
verificar si una obra tiene aprobada la licencia de construcción y con eso revisar el paquete de planos y la resolución de lo aprobado por curaduría, debido a que no existe una base de datos digital</t>
  </si>
  <si>
    <t>El Subdirector de Control Físico y Ambiental asignará un funcionario para construir la base de datos de las licencias de construcción que han sido informadas al DAPM quedando como evidencia el archivo de la base de datos</t>
  </si>
  <si>
    <t># de bases de datos realizadas / #de bases de datos planeadas</t>
  </si>
  <si>
    <t>El funcionario asignado para la construcción de la base de datos usará la herramienta Excel para su creación y será el responsable de su manejo</t>
  </si>
  <si>
    <t>por interrupción de un proceso que pueda afectar a un ciudadano o a la entidad, debido al retraso en las respuestas a las PQRSDF</t>
  </si>
  <si>
    <t>por el desconocimiento de la persona designada de los procedimientos de cada subdirección para direccionarlas oportunamente</t>
  </si>
  <si>
    <t>Posibilidad de afectación reputacional por interrupción de un proceso que pueda afectar a un ciudadano o a la entidad, debido al retraso en las respuestas a las PQRSDF por el desconocimiento de la persona designada de los procedimientos de cada subdirección para direccionarlas oportunamente</t>
  </si>
  <si>
    <t>El líder de calidad del DAPM realizará 2 socializaciones semestrales de los procedimientos de las subdirecciones a la funcionaria encargada de reasignar las PQRSDF en el sistema de gestión documental, dejando para ello el acta de reunión para la socialización</t>
  </si>
  <si>
    <t># de socializaciones realizadas / # de socializaciones programadas</t>
  </si>
  <si>
    <t xml:space="preserve"> Reporte  incorrecto de ingresos del municipio desde las diferentes fuentes </t>
  </si>
  <si>
    <t>Ejecución de pagos de forma incorrecta</t>
  </si>
  <si>
    <t>Aplicación de pagos por el valor que no corresponde</t>
  </si>
  <si>
    <t>Error en el registro de información SSF de diferentes fuentes de ingresos</t>
  </si>
  <si>
    <t xml:space="preserve">Presentación inoportuna de informes a entes de control </t>
  </si>
  <si>
    <t>Suministro de información incorrecta, inoportuna e incompleta por parte de otras dependencias, sistemas de información,  otros organismos  o entes desentralizaados y a  la verificación incompleta de soportes de ingresos reportados por entidades financieras.</t>
  </si>
  <si>
    <t>Aplicación del pago desde  la fuente de ingresos que no corresponde, aplicación incorecta de descuentos o incumplimientos de requisitos para la aprobación del pago</t>
  </si>
  <si>
    <t xml:space="preserve">Errores humanos en la digitación de los valores a pagar en las plataformas de las entidades bancarias </t>
  </si>
  <si>
    <t>Debido al suministro de información incorrecta, inoportuna e incompleta por parte de otras dependencias, sistemas de información,  otros organismos  o entes</t>
  </si>
  <si>
    <t>Falta de seguimiento e información completa para la presentación de informes</t>
  </si>
  <si>
    <t>Posibilidad de Sanciones o  investigaciones disciplinarias, fiscales o penales e incorrecto Flujo presupuestal  por el reporte  incorrecto de ingresos del municipio desde las diferentes fuentes  debido a el  suministro de información incorrecta, inoportuna e incompleta por parte de otras dependencias, sistemas de información,  otros organismos  o entes desentralizaados y a  la verificación incompleta de soportes de ingresos reportados por entidades financieras.</t>
  </si>
  <si>
    <t>Posibilidad de disminución de flujo de efectivos de diferentes cuentas del municipio  y/o Sanciones, investigaciones disciplinarias, fiscales o penales  por la ejecución de pagos de forma incorrecta debido a la aplicación del pago desde  la fuente de ingresos que no corresponde, aplicación incorecta de descuentos o incumplimientos de requisitos para la aprobación del pago</t>
  </si>
  <si>
    <t xml:space="preserve">Posibilidad de Detrimento patrimonial  por la aplicación de pagos por el valor que no corresponde debido a errores humanos en la digitación de los valores a pagar en las plataformas de las entidades bancarias </t>
  </si>
  <si>
    <t>Posibilidad de Sanciones o  investigaciones disciplinarias, fiscales o penales y/o control inadecuado a programas o proyectos de la Alcaldia Municipal por error en el registro de información SSF de diferentes fuentes de ingresos debido al suministro de información incorrecta, inoportuna e incompleta por parte de otras dependencias, sistemas de información,  otros organismos  o entes</t>
  </si>
  <si>
    <t>Posibilidad de sanciones por la presentación inorportuna de informes debido a la falta de seguimiento e información incompleta para el envio del informe.</t>
  </si>
  <si>
    <t>Se asignará una persona de apoyo para la verificación completa de los ingresos reportados con respecto a los extractos bancarios, asegurando el registro veraz y oportuno.</t>
  </si>
  <si>
    <t xml:space="preserve"> Verificación  y ajuste de los concetos, rubros de egreso y cuentas asociadas para asegurar la aplicación de pagos por la cuenta que corresponde.</t>
  </si>
  <si>
    <t>Verificación de los informes de pago de la fiduciaria contra el reporte de rubros y conceptos con el fin de identificar las diferencias y realizar los ajustes correspondientes.</t>
  </si>
  <si>
    <t>Asignación de  personal  apoyo con competencias requeridas para realizar auditorias a los pagos ejecutados desde las cuentas del municipio.</t>
  </si>
  <si>
    <t>Capacitaciones en relación a los programas SICODIS y las operaciones reciprocas para todos los colaboradores que intervienen en la ejecución de ingresos.</t>
  </si>
  <si>
    <t>Asignación de personal  apoyo con competencias requeridas para realizar la verificación de la información reportada por el Ministerio de hacienda en relación a los giros ordinarios de la nación e informar las inconsistenas que sean identificadas a las diferentes dependencias o entidades.</t>
  </si>
  <si>
    <t>Seguimiento al cronograma de informes y a la evidencias cargadas por parte del equipo de la Secretaría del Tesoro.</t>
  </si>
  <si>
    <t>(Total de errores identificados en registro de ingresos/ Total de registros verificados)*100</t>
  </si>
  <si>
    <t>Total de errores identificados en pagos aplicados incorrectamente / total de pagos auditados*100</t>
  </si>
  <si>
    <t>(Total de pagos realizados con errores en el valor / Total de pagos auditados)*100</t>
  </si>
  <si>
    <t>Total de ingresos SSF regisrtados incorrectamente/ Total de registros auditados</t>
  </si>
  <si>
    <t>Total de informes presentados oportunamente/ Total de informes a cargo de la secretaría</t>
  </si>
  <si>
    <t>1. Designar y capacitar la persona de apoyo para el registro y verificación de ingresos</t>
  </si>
  <si>
    <t>1. solicitar la contratación de personal de apoyo y capacitarlo.</t>
  </si>
  <si>
    <t>1. Realizar la verificación de rubros y conceptos de TNS y solicitar los ajustes requeridos.</t>
  </si>
  <si>
    <t>1.Solicitar informes mensuales a la fiduciaria y  realizar ajuste que se identifiquen</t>
  </si>
  <si>
    <t>Solicitar informes mensuales a la fiduciaria y  realizar ajuste que se identifiquen</t>
  </si>
  <si>
    <t>Solicitar y ejecutar capactiaciones.</t>
  </si>
  <si>
    <t>Revisión de registro en el cronograma de informes y verificación de evidencias.</t>
  </si>
  <si>
    <t>Ana Maria Blanco</t>
  </si>
  <si>
    <t>Yuliana Varela</t>
  </si>
  <si>
    <t>Evasión de las deducciones por Estampilla Pro-cultura, generando la disminución del recaudo.</t>
  </si>
  <si>
    <t>Vulnerabilidad o debilidad del sistema de recuado.</t>
  </si>
  <si>
    <t xml:space="preserve">Posibilidad de perdida economica  por la evasión a las deducciones por la Estampilla Pro-cultura, generando la dismunución del recaudo, pues esta se ajusta al presupuesto según la incorporación del recaudo. </t>
  </si>
  <si>
    <t>Revisión de los procesos de recuado de recursos de estampilla pro-cultura.</t>
  </si>
  <si>
    <t>numero de recudos registrados / numero de recaudos asignados a la secetaría</t>
  </si>
  <si>
    <t>Vigilancia a los procesos de recaudo de estampillas</t>
  </si>
  <si>
    <t>Funcionario designado para el área de recaudos</t>
  </si>
  <si>
    <t>Mayo</t>
  </si>
  <si>
    <t>Constantemente</t>
  </si>
  <si>
    <t>Mayo - Diciembre</t>
  </si>
  <si>
    <t>Evasión de pagos de contribución parafiscal de los espectaculos publicos</t>
  </si>
  <si>
    <t>El productor  del espaectaculo realiza el registro por debajo de los topes establecidos</t>
  </si>
  <si>
    <t>Posilidad de perdida economica por bajos recaudos de contribución parafiscal</t>
  </si>
  <si>
    <t>Hacer vigilancia y seguimiento a los procesos de espectaculos publicos</t>
  </si>
  <si>
    <t>numero de espectaculos realizados/ numero de espactaculos aportantes</t>
  </si>
  <si>
    <t>Vigilancia y control a los espectaculos publicos llevados acabo en el municipio.</t>
  </si>
  <si>
    <t>Funcionario asignado a la vigilancia de espectaculos publicos</t>
  </si>
  <si>
    <t>Pérdida de la imagen y  credibilidad en la Secretaría de Cultura y Turismo</t>
  </si>
  <si>
    <t>Asignación de requerimientos que ocasionan represamientos en una misma dependencia, por dudas en la determinación de competencia y aporte de insumos para responder.</t>
  </si>
  <si>
    <t>Posibilidad de pérdida de la imagen y credibilidad en la SCT por procesos de respuestas indebidos</t>
  </si>
  <si>
    <t>Pérdida Reputacional</t>
  </si>
  <si>
    <t>El Secretario y Subsecretario revisa los requerimientos allegados a su dependencia para verificar la competencia para resolver las peticiones.</t>
  </si>
  <si>
    <t>Informe mensual PQRSF de la Secetaría</t>
  </si>
  <si>
    <t>Revisión y aprobación de respuestas emitidas</t>
  </si>
  <si>
    <t>Funcionario asignado a la revisión de PQRS</t>
  </si>
  <si>
    <t>Revisión de tiempos de respuesta</t>
  </si>
  <si>
    <t>Demandas y acciones judiciales en contra de la Entidad, sanciones, condenas, detrimento patrimonial, desacatos.</t>
  </si>
  <si>
    <t>Gestión inapropiada o inoportuna de los PQRSF</t>
  </si>
  <si>
    <t>Posibilidad  de demandas y acciones judiciales en contra de la Secretaría de Cultura y Turismo que pueda conllevar a sanciones, condenas,  desacatos por la gestión inapropiada o inoportuna de los PQRSF</t>
  </si>
  <si>
    <t>Los asesores jurídicos, realizan el respectivo seguimiento a los términos judiciales para la presentación de las respectivas contestaciones a fin de evitar la vulneración de derechos constitucionales y con esto, evitar las acciones de tutela y demás acciones judiciales.</t>
  </si>
  <si>
    <t xml:space="preserve">Cantidad de PQRSFD recibidos / cantidad de PQRSFD contestados dentro de los términos. </t>
  </si>
  <si>
    <t>Asesores Juridicos</t>
  </si>
  <si>
    <t>Junio</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</si>
  <si>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</si>
  <si>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LA GESTIÓN DE ACCIONES Y ESTRATEGIAS DE REPARACIÓN
COLECTIVA DE LAS VICTIMAS DEL CONFLICTO ARMADO EN EL MUNICIPIO DE SAN JOSÉ DE CÚCUTA</t>
  </si>
  <si>
    <t>Falta de un continuo seguimiento a los emprendimientos o proyectos productivos</t>
  </si>
  <si>
    <t>No realizar informes o comunicación sobre las sentencias recibidas por los entes judiciales</t>
  </si>
  <si>
    <t>Tener los formatos o documentos de control desactualizados y retrasados</t>
  </si>
  <si>
    <t xml:space="preserve">Uso inadecuado por parte de los beneficiados de los términos para la recepción del apoyo generado al emprendimiento </t>
  </si>
  <si>
    <t>Poco control y seguimientos sobre los informes y sentencias emitidas</t>
  </si>
  <si>
    <t>Incumplimiento en el registro de entrada y salida de bienes</t>
  </si>
  <si>
    <t xml:space="preserve">Desconocimiento del uso de las materias primas, equipos e insumos suministrados para proyectos de generación de ingresos de víctimas del conflicto armado </t>
  </si>
  <si>
    <t>Incumplimiento en los téminos requeridos a los fallos conferidos por un juez a las víctimas del conflicto armado</t>
  </si>
  <si>
    <t>Pérdida o daño de bienes institucionales</t>
  </si>
  <si>
    <t>Coordinar metodologias que permitan un debido acompañamiento de las victimas del conflicto armando</t>
  </si>
  <si>
    <t xml:space="preserve">Realizar cronograma de seguimiento y cumplimiento de los emprendimientos productivos apoyados </t>
  </si>
  <si>
    <t>Actualizar y socializar formato para firma de compromiso por parte de los beneficiarios de los bienes</t>
  </si>
  <si>
    <t>Evaluación de los informes de seguimiento sobre las sentencias reportados por el profesional competente</t>
  </si>
  <si>
    <t xml:space="preserve">Aumentar el personal idóneo para la debida respuesta a los fallos o sentencias recibidas o vinculantes </t>
  </si>
  <si>
    <t>Verificación  y mejora de Protocólo y Minuta del día del vigilante</t>
  </si>
  <si>
    <t>Supervisar la conservación, manejo y uso de los bienes de la institución</t>
  </si>
  <si>
    <t>La gestión o manejo de proyectos que permitan una reparación integral de las víctimas del conflicto armado, bajo los parametros y garantias de Ley</t>
  </si>
  <si>
    <t>Casi Seguro</t>
  </si>
  <si>
    <t>Posible</t>
  </si>
  <si>
    <t>Probable</t>
  </si>
  <si>
    <t xml:space="preserve">Sensibilizar y concientizar a los beneficiarios de las consecuencias legales que conllevan el incumplimiento de los compromisos </t>
  </si>
  <si>
    <t xml:space="preserve">Dejar constancia de los requerimientos, exigencias y compromisos del proyecto </t>
  </si>
  <si>
    <t>Reducir los riesgos evaluando la calidad y consistencia de los informes reportados por profesional a cargo</t>
  </si>
  <si>
    <t xml:space="preserve">Realizar entrevistas y contratación a personal idóneo para que se de cumplimiento a las sentencias de restitución de tierras y se articule con las demás secretarias </t>
  </si>
  <si>
    <t>Llevar a la práctica la gestión de trámites, diligencias, encargos, papeleo y demás elementos que se presenten en la ejución de los proyectos</t>
  </si>
  <si>
    <t xml:space="preserve">Profesional apoyo a procesos de planificación </t>
  </si>
  <si>
    <t>Grupp Jurídico de la entidad</t>
  </si>
  <si>
    <t>DIRECCIONAMIENTO Y PLANEACIÓN ESTRATÉGICA</t>
  </si>
  <si>
    <t>GESTIÓN DE LA INFORMACIÓN ESTADÍSTICA</t>
  </si>
  <si>
    <t>Aplicar la encuesta de clasificación socioeconómica establecida por el Departamento Nacional de Planeación DNP para que a través de la clasificación obtenida la ciudadania pueda ser focalizada en los diferentes programas que ofrece el estado  de manera ágil, transparente y oportuna de acuerdo a la normatividad vigente</t>
  </si>
  <si>
    <t>Inicia desde la definición del plan de desarrollo y la socialización de los lineamientos metodológicos emitidos por el departamento Nacional de Planeación,  radicación de las solicitudes recibidas a diario, la aplicación de la encuestas como  instrumento de caracterización y termina con el descargue y envío de la información al DNP para su clasificación y posterior focalización del gasto social que permitan identificar y ordenar a la población para la selección y asignación de subsidios y beneficios por parte de las entidades y programas sociales.</t>
  </si>
  <si>
    <t>Falencia en la inducción sobre el Plan de Seguridad y Privacidad de la información 2024 en la Intranet de la Alcaldía</t>
  </si>
  <si>
    <t>Desconocimiento de la normatividad que respalda la protección de datos personales</t>
  </si>
  <si>
    <t>Incumplir la ley estatutaria 1581 de 2012 por la cual se dictan disposiciones generales para la protección de datos personales</t>
  </si>
  <si>
    <t>El área de sistemas, en calidad de administrador de la base de datos de caracterización Socioeconómica - Sisbén de la ciudad de Cúcuta y el área de PQRS en calidad de responsable en la estructuración y atención de respuestas ante requerimientos que le hacen a la oficina Sisbén, verifican que la solicitud responda a una orden judicial y se aporten el respectivo documento, consolidando de forma mensual la atención de este tipo de solicitudes ante el jefe de oficina.</t>
  </si>
  <si>
    <t>Número de solicitudes de información recibidas mensualmente</t>
  </si>
  <si>
    <t>El área de sistemas con base en requerimientos de otras áreas de la Oficina Sisbén, controla los permisos de ingreso al aplicativo Sisbenapp de acuerdo a criterios de confidencialidad y privacidad de la información. Así mismo actualiza la habilitación y cancelación de accesos, teniendo en cuenta las vigencias de vinculación laboral de los responsables de los dominios otorgados,  consolidando de forma mensual las novedades de estado de los accesos correspondiente a las áreas de atención y encuestas ante el jefe de oficina.</t>
  </si>
  <si>
    <t>Reporte de novedades de habilitación y cierre de usuarios</t>
  </si>
  <si>
    <t>Ineficacia en los controles y seguimientos al cumplimiento de la gestión contractual asignada a la Oficina Sisbén</t>
  </si>
  <si>
    <t>Incumplimiento del PA-04-01-M2 V2 Manual de Supervisión e Interventoría</t>
  </si>
  <si>
    <t>Omitir las obligaciones descritas en PA-04-01-M2 V2 Manual de Supervisión e Interventoría, para los contratos de bienes y servicios que se generen de los proyectos de inversión vigentes, incurriendo en posibles sanciones por parte de los entes de control</t>
  </si>
  <si>
    <t>Verificar la información suministrada en el POAI de manera mensual, validando que las cifras sean acordes a la gestión de pagos y compromisos establecidos con la gestión contractual</t>
  </si>
  <si>
    <t>(Número de Pagos realizados / Números de compromisos adquiridos) * 100</t>
  </si>
  <si>
    <t>Reportar mensualmente en la plataforma SPI del DNP el avance físico y financiero de los productos asociados a los proyectos que lidera la Oficina Sisbén</t>
  </si>
  <si>
    <t xml:space="preserve">% Avance Físico y  % Avance financiero                                                                                                                                                                                                                                                                                                                                                                                         </t>
  </si>
  <si>
    <t>No reporte del proceso de seguimiento de pagos realizados y por cobrar para los procesos contractuales vinculados a la oficina</t>
  </si>
  <si>
    <t>Falta de planeación en el proceso de constitución de reservas presupuestales y balance de saldos no ejecutados por la dependencia</t>
  </si>
  <si>
    <t>Afectación en el proceso de constitución de reservas presupuestales para saldos no cobrados de personal vinculado a la dependencia y/o proveedores de bienes y servicios</t>
  </si>
  <si>
    <t>Seguimiento mensual al plan de pagos en la plataforma SECOP II para los procesos contractuales vigentes</t>
  </si>
  <si>
    <t>(Número de pagos marcados / Número total de pagos configurados) * 100</t>
  </si>
  <si>
    <t>Matriz de seguimiento para la presentación y radicación de los informes de cumplimiento para las cuentas pendientes por pagar</t>
  </si>
  <si>
    <t>(Número de cuentas pagadas / Número total de pagos pactados) * 100</t>
  </si>
  <si>
    <t>CONTROL Y EVALUACION</t>
  </si>
  <si>
    <t>EVALUACION DE LA GESTION</t>
  </si>
  <si>
    <t>Asesorar a la alta dirección con un seguimiento continuo y constante en aras de evitar y/o mitigar los riesgos que se puedan presentar en el desarrollo de las actividades en cumplimiento de las funciones institucionales.</t>
  </si>
  <si>
    <t>Inicia con la planeación de las auditorias internas y culmina con el seguimientos de los informes de gestión de ley.</t>
  </si>
  <si>
    <t>Perdida de Archivos de Gestión.</t>
  </si>
  <si>
    <t>Inadecuada aplicación de la Ley General de Archivo.</t>
  </si>
  <si>
    <t xml:space="preserve">Posible afectación economica y reputacional por la perdida de archivos de gestión debido a la inadecuada aplicación de la Ley General de Archivo. </t>
  </si>
  <si>
    <t xml:space="preserve">El jefe de oficina de control interno de gestión junto con la secretaria y auxiliar administrativa, asiste a todas las capacitaciones brindadas por la secretaria general respecto la Ley General de Archivo y la adecuada gestión documental, asi mismo realiza el monitoreo diario a la actualización del inventario documental mediante el formato FUID.
</t>
  </si>
  <si>
    <t>N° de unidades de conservación generadas / N° de unidades de conservación revisadas.</t>
  </si>
  <si>
    <t>Perdida de los archivos digitales conservados en el Correo Institucional gmail.</t>
  </si>
  <si>
    <t>Falta de copias de seguridad en los archivos de información digitales establecidos en el drive de la Oficina.</t>
  </si>
  <si>
    <t>Posible afectación reputacional por la Perdida de los archivos digitales conservados en el Correo Institucional gmail debido a la falta de Falta de copias de seguridad en los archivos de información digitales establecidos en el drive de la Oficina.</t>
  </si>
  <si>
    <t xml:space="preserve">El jefe de oficina de control interno de gestión junto con la secretaria y auxiliar administrativa, realiza el monitoreo semanal del archivo de gestión organizado en la carpeta drive creada en el correo institucional de la Oficina, asi mismo realiza el respaldo de la información de forma mensual concervada en disco duro extraible.
</t>
  </si>
  <si>
    <t>N° de unidades de conservación generadas en el drive / N° de unidades de conservación revisadas en el drive.</t>
  </si>
  <si>
    <t>Talento humano desactualizado en el Sistema de Control Interno</t>
  </si>
  <si>
    <t>Escasas jornadas de capacitación al personal de planta y contratista en el Sistema de Control Interno, aunado a la alta rotación del personal contratista.</t>
  </si>
  <si>
    <t>Posible afectacion reputacional por Talento humano desactualizado en el Sistema de Control Interno debido a las escazas jornadas de capacitación al personal de planta y contratista en el Sistema de Control Interno, aunado a la alta rotación del personal contratista.</t>
  </si>
  <si>
    <t xml:space="preserve">El jefe de oficina de control interno de gestión en articulación con la Subsecretaria de Talento Humano programa dentro de su Plan Anual de Auditoría jornadas de capacitación para el personal asignado a la Oficina. Asi mismo conforme la programación de cada auditoria incluye dentro de su etapa de planeación la socialización de los procedimientos adoptados para los seguimientos, auditorias y planes de mejoramiento.
</t>
  </si>
  <si>
    <t>N° de personal asignado a la oficina / N° de personal Capacitado.</t>
  </si>
  <si>
    <t xml:space="preserve">Demoras en la consulta de información en los equipos de computo de la Oficina ya que no cuentan con las caracteristicas tecnologicas de hardware y software. </t>
  </si>
  <si>
    <t>Equipo de Computo obsoleto.</t>
  </si>
  <si>
    <t>Posibilidad de perdida reputacional por demoras en la consulta de información en los equipos de computo de la Oficina debido a que los equipos de computo no cuentan con las caracteristicas tecnologicas de hardware y software.</t>
  </si>
  <si>
    <t xml:space="preserve">El jefe de oficina de control interno de gestión en articulación con la Oficina TIC solicita el mantenimiento preventivo a los equipos de computo de la Oficina. </t>
  </si>
  <si>
    <t>N° de equipos de computo asignados/N° equipos de computo obsoleto</t>
  </si>
  <si>
    <t>Incumplimiento del Plan Anual de Auditorías.</t>
  </si>
  <si>
    <t>Falta de Procedimientos establecidos en la Oficina de Control Interno de Gestión y/o demoras en la solicitud y recopilación de información fuente que garantice la realización de las Auditorias  y los seguimientos.</t>
  </si>
  <si>
    <t>Posibilidad de perdida reputacional por el incumplimineto del Plan Anual de Auditorías debido a la Falta de Procedimientos establecidos en la Oficina de Control Interno de Gestión y/o demoras en la solicitud y recopilación de información fuente que garantice la realización de las Auditorias  y los seguimientos.</t>
  </si>
  <si>
    <t>N° auditorias programadas/N°auditorias ejecutadas.</t>
  </si>
  <si>
    <t>Falta de gestión y seguimiento a las acciones de mejoramiento</t>
  </si>
  <si>
    <t>Desconocimiento de las auditorias practicadas y los planes de mejoramiento suscritos con entes externos.</t>
  </si>
  <si>
    <t>Posibilidad de afectación reputacional y económica por la falta de gestión y seguimiento a las acciones de mejoramiento debido al desconocimiento de las auditorias practicadas y los planes de merjoramiento suscritos con entes externos.</t>
  </si>
  <si>
    <t>N°planes de mejora suscritos /N°planes de mejora con seguimiento</t>
  </si>
  <si>
    <t>Ejecución y admistración de procesos</t>
  </si>
  <si>
    <t>Fiscal</t>
  </si>
  <si>
    <t>Ejecución y administración de procesos</t>
  </si>
  <si>
    <t>Generando el Uso inadecuado de la información de la secretaría</t>
  </si>
  <si>
    <t>Conllenvando a  la Omisión en la entrega de repuesta de  PQRS al cliente externo</t>
  </si>
  <si>
    <t>Probabilidad del desconocimiento de las respuestas a peticiones quejas, reclamos interpuestos por los ciudadanos, entidades y organismos de control. Generando el Uso inadecuado de la información de la secretaría  Con llevando a  la Omisión en la entrega de repuesta de  PQRS al cliente externo</t>
  </si>
  <si>
    <t>El profesional asesor juridico de la dependencia Realizara seguimiento a la respuestas a las peticiones quejas, reclamos  interpuestos por los ciudadanos, entidades y organismos de control a traves del  Documento respuesta escrita.</t>
  </si>
  <si>
    <t>Cumplimiento de respuestas a ciudadanos vs número de PQRS</t>
  </si>
  <si>
    <t>El profesional asesor juridico reasignara a los profesionales de la dependencia de acuerdo a sus competencias para dar las respuesta a peticiones quejas, reclamos  interpuestos por los ciudadanos, entidades y organismos de control de acuerdo a lo previsto en los teminos establecidos en la  Ley 1437/11 a traves del  Documento respuesta escrita.</t>
  </si>
  <si>
    <t>Cumplimiento de respuestas a entes de control vs número de PQRS</t>
  </si>
  <si>
    <t>Deficiente orientación y/o formulación de los proyectos de inversión</t>
  </si>
  <si>
    <t xml:space="preserve">contratación de personal inadecuado </t>
  </si>
  <si>
    <t>Posibilidad de manejo ineficiente de los recursos, debido a la mala orientación y/o formulación de los proyectos de inversión por causa de contratación de personal inadecuado.</t>
  </si>
  <si>
    <t xml:space="preserve">     El riesgo afecta la imagen de la entidad a nivel nacional, con efecto publicitarios sostenible a nivel país</t>
  </si>
  <si>
    <t>El equipo de contratación realiza el estudio del perfil del personal a contratar, identificando la idoneidad del perfil generando el certificado de idoneidad y experiencia</t>
  </si>
  <si>
    <t>Número de certificados generados / número de contratos efectuados</t>
  </si>
  <si>
    <t>Vinculación contractual de nuevo personal</t>
  </si>
  <si>
    <t>inexistencia de la gestión del conocimiento</t>
  </si>
  <si>
    <t>Probabilidad de repetir y/o omitir procesos o actividades por vinculación contractual de nuevo personal, debido a la inexistencia de la gestión del conocimiento.</t>
  </si>
  <si>
    <t>El equipo de planeación de la secretaría realiza la capacitación de la actualización de los documentos, soportes de los procesos y procedimientos</t>
  </si>
  <si>
    <t>El lider de cada proyecto y/o programa de la secretaría reallizará capacitaciones cada  vez que se contrate nuevo personal.</t>
  </si>
  <si>
    <t>Perdida de la información de la secretaría</t>
  </si>
  <si>
    <t>inadecuado manejo de las tablas de retención documental y formatos establecidos</t>
  </si>
  <si>
    <t>Posibilidad de afectar el patrimonio documental por perdida de la información de la secretaría, debido a inadecuado manejo de las tablas de retención documental y formatos de prestamos de documentos</t>
  </si>
  <si>
    <t>El secretario solicita capacitación en el uso de las tablas de retención documental deacuerdo a las directrices de la oficina de archivo central.</t>
  </si>
  <si>
    <t>El equipo de planeación de la secretaria realiza seguimiento y/o actualización de los formatos de control de documentos de la secretaría.</t>
  </si>
  <si>
    <t>respuestas tardias y/o inexistentes de los PQRDS</t>
  </si>
  <si>
    <t>falta de conocimiento del personal encagado del sistema de información documental</t>
  </si>
  <si>
    <t>Posibilidad de pérdida de la imagen institucional con respuestas tardías y/o inexistentes de los PQRDS debido a la falta de conocimiento del  personal encargado del sistema de  información documental.</t>
  </si>
  <si>
    <t>El secretario solicita la capacitación a la oficina TICs sobre el manejo de la plataforma ORFEO para el buen manejo de los PQRDS.</t>
  </si>
  <si>
    <t xml:space="preserve">Los profesionales de apoyo en el manejo de la plataforma ORFEO, realiza el seguimiento mensual del estado de los PQRDS con el formato de seguimiento V3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</si>
</sst>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56">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18"/>
      <color theme="1"/>
      <name val="Calibri"/>
      <family val="2"/>
      <scheme val="minor"/>
    </font>
    <font>
      <sz val="14"/>
      <color theme="1"/>
      <name val="Calibri"/>
      <family val="2"/>
      <scheme val="minor"/>
    </font>
    <font>
      <b/>
      <sz val="14"/>
      <color theme="1"/>
      <name val="Calibri"/>
      <family val="2"/>
      <scheme val="minor"/>
    </font>
    <font>
      <sz val="12"/>
      <color theme="1"/>
      <name val="Arial Narrow"/>
      <family val="2"/>
    </font>
    <font>
      <sz val="12"/>
      <name val="Arial Narrow"/>
      <family val="2"/>
    </font>
    <font>
      <b/>
      <sz val="12"/>
      <color theme="1"/>
      <name val="Arial Narrow"/>
      <family val="2"/>
    </font>
    <font>
      <sz val="11"/>
      <name val="Calibri"/>
      <family val="2"/>
      <scheme val="minor"/>
    </font>
    <font>
      <sz val="10"/>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sz val="10"/>
      <name val="Calibri"/>
      <family val="2"/>
      <scheme val="minor"/>
    </font>
    <font>
      <b/>
      <sz val="12"/>
      <color theme="1"/>
      <name val="Calibri"/>
      <family val="2"/>
      <scheme val="minor"/>
    </font>
    <font>
      <b/>
      <sz val="10"/>
      <color theme="1"/>
      <name val="Calibri"/>
      <family val="2"/>
      <scheme val="minor"/>
    </font>
    <font>
      <b/>
      <sz val="18"/>
      <color theme="1"/>
      <name val="Arial Narrow"/>
      <family val="2"/>
    </font>
    <font>
      <sz val="14"/>
      <color theme="1"/>
      <name val="Arial Narrow"/>
      <family val="2"/>
    </font>
    <font>
      <b/>
      <sz val="14"/>
      <color theme="1"/>
      <name val="Arial Narrow"/>
      <family val="2"/>
    </font>
    <font>
      <sz val="11"/>
      <name val="Arial Narrow"/>
      <family val="2"/>
    </font>
    <font>
      <sz val="11"/>
      <color theme="1"/>
      <name val="Arial"/>
      <family val="2"/>
    </font>
    <font>
      <sz val="10"/>
      <color theme="1"/>
      <name val="Arial Narrow"/>
      <family val="2"/>
    </font>
    <font>
      <b/>
      <sz val="11"/>
      <color theme="9" tint="-0.249977111117893"/>
      <name val="Arial Narrow"/>
      <family val="2"/>
    </font>
    <font>
      <b/>
      <sz val="16"/>
      <color theme="1"/>
      <name val="Calibri"/>
      <family val="2"/>
      <scheme val="minor"/>
    </font>
    <font>
      <b/>
      <sz val="20"/>
      <color theme="1"/>
      <name val="Calibri"/>
      <family val="2"/>
      <scheme val="minor"/>
    </font>
    <font>
      <sz val="11"/>
      <color theme="1"/>
      <name val="Arial Narrow"/>
    </font>
    <font>
      <sz val="11"/>
      <name val="Calibri"/>
    </font>
    <font>
      <b/>
      <sz val="11"/>
      <color theme="1"/>
      <name val="Calibri"/>
    </font>
    <font>
      <b/>
      <sz val="11"/>
      <color theme="1"/>
      <name val="Arial Narrow"/>
    </font>
    <font>
      <b/>
      <sz val="18"/>
      <color theme="1"/>
      <name val="Calibri"/>
    </font>
    <font>
      <sz val="14"/>
      <color theme="1"/>
      <name val="Calibri"/>
    </font>
    <font>
      <b/>
      <sz val="14"/>
      <color theme="1"/>
      <name val="Calibri"/>
    </font>
    <font>
      <sz val="11"/>
      <color theme="1"/>
      <name val="Calibri"/>
    </font>
    <font>
      <sz val="10"/>
      <color theme="1"/>
      <name val="Calibri"/>
    </font>
    <font>
      <i/>
      <sz val="11"/>
      <color theme="1"/>
      <name val="Calibri"/>
    </font>
    <font>
      <b/>
      <i/>
      <sz val="11"/>
      <color theme="1"/>
      <name val="Calibri"/>
    </font>
    <font>
      <sz val="11"/>
      <name val="Arial"/>
      <family val="2"/>
    </font>
    <font>
      <sz val="12"/>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1"/>
      <color theme="1"/>
      <name val="Calibri"/>
      <family val="2"/>
    </font>
    <font>
      <sz val="11"/>
      <name val="Calibri"/>
      <family val="2"/>
    </font>
    <font>
      <b/>
      <sz val="16"/>
      <color theme="1"/>
      <name val="Calibri"/>
      <family val="2"/>
    </font>
    <font>
      <b/>
      <sz val="8"/>
      <color theme="1"/>
      <name val="Calibri"/>
      <family val="2"/>
    </font>
    <font>
      <sz val="8"/>
      <name val="Calibri"/>
      <family val="2"/>
    </font>
    <font>
      <sz val="11"/>
      <color rgb="FF000000"/>
      <name val="Calibri"/>
      <family val="2"/>
      <scheme val="minor"/>
    </font>
    <font>
      <b/>
      <sz val="11"/>
      <name val="Arial Narrow"/>
      <family val="2"/>
    </font>
    <font>
      <i/>
      <sz val="11"/>
      <color theme="1"/>
      <name val="Arial Narrow"/>
      <family val="2"/>
    </font>
    <font>
      <b/>
      <i/>
      <sz val="11"/>
      <color theme="1"/>
      <name val="Arial Narrow"/>
      <family val="2"/>
    </font>
    <font>
      <sz val="14"/>
      <name val="Calibri"/>
      <family val="2"/>
      <scheme val="minor"/>
    </font>
    <font>
      <i/>
      <sz val="11"/>
      <name val="Calibri"/>
      <family val="2"/>
      <scheme val="minor"/>
    </font>
    <font>
      <sz val="16"/>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rgb="FFFBD4B4"/>
        <bgColor rgb="FFFBD4B4"/>
      </patternFill>
    </fill>
    <fill>
      <patternFill patternType="solid">
        <fgColor rgb="FFDBE5F1"/>
        <bgColor rgb="FFDBE5F1"/>
      </patternFill>
    </fill>
    <fill>
      <patternFill patternType="solid">
        <fgColor rgb="FFEAF1DD"/>
        <bgColor rgb="FFEAF1DD"/>
      </patternFill>
    </fill>
    <fill>
      <patternFill patternType="solid">
        <fgColor rgb="FFE5DFEC"/>
        <bgColor rgb="FFE5DFEC"/>
      </patternFill>
    </fill>
    <fill>
      <patternFill patternType="solid">
        <fgColor rgb="FFDDD9C3"/>
        <bgColor rgb="FFDDD9C3"/>
      </patternFill>
    </fill>
    <fill>
      <patternFill patternType="solid">
        <fgColor rgb="FFF2F2F2"/>
        <bgColor rgb="FFF2F2F2"/>
      </patternFill>
    </fill>
    <fill>
      <patternFill patternType="solid">
        <fgColor theme="9"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54">
    <xf numFmtId="0" fontId="0" fillId="0" borderId="0" xfId="0"/>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vertical="center"/>
      <protection locked="0"/>
    </xf>
    <xf numFmtId="0" fontId="5" fillId="3" borderId="1" xfId="0" applyFont="1" applyFill="1" applyBorder="1" applyAlignment="1">
      <alignment vertical="center"/>
    </xf>
    <xf numFmtId="0" fontId="2" fillId="6" borderId="1" xfId="0" applyFont="1" applyFill="1" applyBorder="1" applyAlignment="1">
      <alignment horizontal="center" vertical="center" textRotation="90"/>
    </xf>
    <xf numFmtId="0" fontId="8" fillId="0" borderId="1" xfId="0" applyFont="1" applyBorder="1" applyAlignment="1">
      <alignment horizontal="center" vertical="center"/>
    </xf>
    <xf numFmtId="0" fontId="9"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xf>
    <xf numFmtId="9" fontId="8" fillId="0" borderId="1" xfId="0" applyNumberFormat="1" applyFont="1" applyBorder="1" applyAlignment="1" applyProtection="1">
      <alignment horizontal="center" vertical="center"/>
      <protection hidden="1"/>
    </xf>
    <xf numFmtId="164" fontId="8" fillId="0" borderId="1" xfId="1" applyNumberFormat="1" applyFont="1" applyBorder="1" applyAlignment="1">
      <alignment horizontal="center" vertical="center"/>
    </xf>
    <xf numFmtId="0" fontId="10" fillId="0" borderId="1" xfId="0" applyFont="1" applyBorder="1" applyAlignment="1" applyProtection="1">
      <alignment horizontal="center" vertical="center" textRotation="90" wrapText="1"/>
      <protection hidden="1"/>
    </xf>
    <xf numFmtId="0" fontId="10" fillId="0" borderId="1" xfId="0" applyFont="1" applyBorder="1" applyAlignment="1" applyProtection="1">
      <alignment horizontal="center" vertical="center" textRotation="90"/>
      <protection hidden="1"/>
    </xf>
    <xf numFmtId="0" fontId="8" fillId="0" borderId="6" xfId="0" applyFont="1" applyBorder="1" applyAlignment="1">
      <alignment horizontal="center" vertical="center"/>
    </xf>
    <xf numFmtId="0" fontId="0" fillId="0" borderId="1" xfId="0"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164" fontId="8" fillId="9" borderId="1" xfId="1" applyNumberFormat="1"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pplyProtection="1">
      <alignment horizontal="justify" vertical="center" wrapText="1"/>
      <protection locked="0"/>
    </xf>
    <xf numFmtId="9" fontId="0" fillId="0" borderId="1" xfId="0" applyNumberFormat="1" applyBorder="1" applyAlignment="1">
      <alignment horizontal="center" vertical="center"/>
    </xf>
    <xf numFmtId="164" fontId="0" fillId="0" borderId="1" xfId="1" applyNumberFormat="1" applyFont="1" applyBorder="1" applyAlignment="1" applyProtection="1">
      <alignment horizontal="center" vertical="center"/>
    </xf>
    <xf numFmtId="14" fontId="0" fillId="0" borderId="1" xfId="0" applyNumberFormat="1" applyBorder="1" applyAlignment="1" applyProtection="1">
      <alignment horizontal="center" vertical="center"/>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11" fillId="0" borderId="1" xfId="0" applyFont="1" applyBorder="1" applyAlignment="1" applyProtection="1">
      <alignment horizontal="center" vertical="center" wrapText="1"/>
      <protection locked="0"/>
    </xf>
    <xf numFmtId="0" fontId="2" fillId="6" borderId="1" xfId="0" applyFont="1" applyFill="1" applyBorder="1" applyAlignment="1">
      <alignment horizontal="center" vertical="center" textRotation="90" wrapText="1"/>
    </xf>
    <xf numFmtId="0" fontId="8" fillId="0" borderId="1" xfId="0" applyFont="1" applyBorder="1" applyAlignment="1" applyProtection="1">
      <alignment horizontal="center" vertical="center" textRotation="90"/>
      <protection locked="0"/>
    </xf>
    <xf numFmtId="0" fontId="8" fillId="0" borderId="1" xfId="0" applyFont="1" applyBorder="1" applyAlignment="1" applyProtection="1">
      <alignment horizontal="justify" vertical="top" wrapText="1"/>
      <protection locked="0"/>
    </xf>
    <xf numFmtId="0" fontId="8" fillId="0" borderId="1" xfId="0" applyFont="1" applyBorder="1" applyAlignment="1" applyProtection="1">
      <alignment horizontal="center" vertical="top"/>
      <protection hidden="1"/>
    </xf>
    <xf numFmtId="0" fontId="8" fillId="0" borderId="1" xfId="0" applyFont="1" applyBorder="1" applyAlignment="1" applyProtection="1">
      <alignment horizontal="center" vertical="top" textRotation="90"/>
      <protection locked="0"/>
    </xf>
    <xf numFmtId="9" fontId="8" fillId="0" borderId="1" xfId="0" applyNumberFormat="1" applyFont="1" applyBorder="1" applyAlignment="1" applyProtection="1">
      <alignment horizontal="center" vertical="top"/>
      <protection hidden="1"/>
    </xf>
    <xf numFmtId="164" fontId="8" fillId="0" borderId="1" xfId="1" applyNumberFormat="1" applyFont="1" applyBorder="1" applyAlignment="1">
      <alignment horizontal="center" vertical="top"/>
    </xf>
    <xf numFmtId="0" fontId="10" fillId="0" borderId="1" xfId="0" applyFont="1" applyBorder="1" applyAlignment="1" applyProtection="1">
      <alignment horizontal="center" vertical="top" textRotation="90" wrapText="1"/>
      <protection hidden="1"/>
    </xf>
    <xf numFmtId="0" fontId="10" fillId="0" borderId="1" xfId="0" applyFont="1" applyBorder="1" applyAlignment="1" applyProtection="1">
      <alignment horizontal="center" vertical="top" textRotation="90"/>
      <protection hidden="1"/>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0" xfId="0" applyFill="1" applyAlignment="1" applyProtection="1">
      <alignment vertical="center"/>
      <protection locked="0"/>
    </xf>
    <xf numFmtId="0" fontId="16" fillId="0" borderId="7"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0" fontId="16" fillId="0" borderId="1" xfId="0" applyFont="1" applyBorder="1" applyAlignment="1" applyProtection="1">
      <alignment horizontal="justify" vertical="center" wrapText="1"/>
      <protection locked="0"/>
    </xf>
    <xf numFmtId="0" fontId="8" fillId="0" borderId="9" xfId="0" applyFont="1" applyBorder="1" applyAlignment="1">
      <alignment horizontal="center" vertical="center" wrapText="1"/>
    </xf>
    <xf numFmtId="0" fontId="3" fillId="0" borderId="1" xfId="0" applyFont="1" applyBorder="1" applyAlignment="1" applyProtection="1">
      <alignment horizontal="center" vertical="center"/>
      <protection hidden="1"/>
    </xf>
    <xf numFmtId="9" fontId="3" fillId="0" borderId="1" xfId="0" applyNumberFormat="1" applyFont="1" applyBorder="1" applyAlignment="1" applyProtection="1">
      <alignment horizontal="center" vertical="center"/>
      <protection hidden="1"/>
    </xf>
    <xf numFmtId="164" fontId="3" fillId="0" borderId="1" xfId="1" applyNumberFormat="1" applyFont="1" applyBorder="1" applyAlignment="1">
      <alignment horizontal="center" vertical="center"/>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17" fillId="0" borderId="5" xfId="0" applyFont="1" applyBorder="1" applyAlignment="1" applyProtection="1">
      <alignment horizontal="center" vertical="center" wrapText="1"/>
      <protection hidden="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10" borderId="9" xfId="0" applyFont="1" applyFill="1" applyBorder="1" applyAlignment="1">
      <alignment horizontal="center" vertical="center" wrapText="1"/>
    </xf>
    <xf numFmtId="9"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xf>
    <xf numFmtId="0" fontId="18" fillId="0" borderId="9" xfId="0" applyFont="1" applyBorder="1" applyAlignment="1">
      <alignment horizontal="center" vertical="center" textRotation="90" wrapText="1"/>
    </xf>
    <xf numFmtId="0" fontId="18" fillId="0" borderId="9" xfId="0" applyFont="1" applyBorder="1" applyAlignment="1">
      <alignment horizontal="center" vertical="center" textRotation="90"/>
    </xf>
    <xf numFmtId="0" fontId="12" fillId="10" borderId="1" xfId="0" applyFont="1" applyFill="1" applyBorder="1" applyAlignment="1">
      <alignment horizontal="center"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xf>
    <xf numFmtId="0" fontId="12" fillId="0" borderId="9" xfId="0" applyFont="1" applyBorder="1" applyAlignment="1">
      <alignment horizontal="center" vertical="center" textRotation="90"/>
    </xf>
    <xf numFmtId="0" fontId="12" fillId="0" borderId="17" xfId="0" applyFont="1" applyBorder="1" applyAlignment="1">
      <alignment horizontal="center" vertical="center" textRotation="90"/>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0" fontId="18" fillId="0" borderId="8" xfId="0" applyFont="1" applyBorder="1" applyAlignment="1">
      <alignment horizontal="center" vertical="center"/>
    </xf>
    <xf numFmtId="0" fontId="12" fillId="0" borderId="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0" xfId="0" applyFont="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xf>
    <xf numFmtId="0" fontId="19" fillId="3" borderId="1" xfId="0" applyFont="1" applyFill="1" applyBorder="1" applyAlignment="1">
      <alignment vertical="center"/>
    </xf>
    <xf numFmtId="0" fontId="4" fillId="6" borderId="1" xfId="0" applyFont="1" applyFill="1" applyBorder="1" applyAlignment="1">
      <alignment horizontal="center" vertical="center" textRotation="9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textRotation="90"/>
      <protection locked="0"/>
    </xf>
    <xf numFmtId="14" fontId="3" fillId="0" borderId="1" xfId="0" applyNumberFormat="1" applyFont="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wrapText="1"/>
    </xf>
    <xf numFmtId="0" fontId="2" fillId="0" borderId="24"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protection hidden="1"/>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0" borderId="0" xfId="0" applyFont="1" applyAlignment="1">
      <alignment horizontal="left"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textRotation="90"/>
      <protection locked="0"/>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12" fillId="0" borderId="1" xfId="0"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1" xfId="0" applyBorder="1" applyAlignment="1" applyProtection="1">
      <alignment horizontal="center" vertical="center" textRotation="255"/>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justify" wrapText="1"/>
      <protection locked="0"/>
    </xf>
    <xf numFmtId="0" fontId="30" fillId="0" borderId="31" xfId="0" applyFont="1" applyBorder="1" applyAlignment="1">
      <alignment horizontal="center" vertical="center"/>
    </xf>
    <xf numFmtId="0" fontId="28" fillId="10" borderId="0" xfId="0" applyFont="1" applyFill="1" applyAlignment="1">
      <alignment horizontal="center" vertical="center"/>
    </xf>
    <xf numFmtId="0" fontId="28" fillId="10" borderId="0" xfId="0" applyFont="1" applyFill="1" applyAlignment="1">
      <alignment horizontal="left" vertical="center"/>
    </xf>
    <xf numFmtId="0" fontId="28" fillId="10" borderId="0" xfId="0" applyFont="1" applyFill="1" applyAlignment="1">
      <alignment vertical="center"/>
    </xf>
    <xf numFmtId="0" fontId="30" fillId="14" borderId="9" xfId="0" applyFont="1" applyFill="1" applyBorder="1" applyAlignment="1">
      <alignment horizontal="center" vertical="center" textRotation="90"/>
    </xf>
    <xf numFmtId="0" fontId="35"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5" fillId="0" borderId="9" xfId="0" applyFont="1" applyBorder="1" applyAlignment="1">
      <alignment horizontal="center" vertical="center"/>
    </xf>
    <xf numFmtId="0" fontId="36" fillId="0" borderId="9" xfId="0" applyFont="1" applyBorder="1" applyAlignment="1">
      <alignment horizontal="left" vertical="center" wrapText="1"/>
    </xf>
    <xf numFmtId="9" fontId="35" fillId="0" borderId="9" xfId="0" applyNumberFormat="1" applyFont="1" applyBorder="1" applyAlignment="1">
      <alignment horizontal="center" vertical="center"/>
    </xf>
    <xf numFmtId="164" fontId="35" fillId="0" borderId="9" xfId="0" applyNumberFormat="1" applyFont="1" applyBorder="1" applyAlignment="1">
      <alignment horizontal="center" vertical="center"/>
    </xf>
    <xf numFmtId="0" fontId="30" fillId="0" borderId="9" xfId="0" applyFont="1" applyBorder="1" applyAlignment="1">
      <alignment horizontal="center" vertical="center" wrapText="1"/>
    </xf>
    <xf numFmtId="0" fontId="30" fillId="0" borderId="9" xfId="0" applyFont="1" applyBorder="1" applyAlignment="1">
      <alignment horizontal="center" vertical="center"/>
    </xf>
    <xf numFmtId="0" fontId="35" fillId="0" borderId="9" xfId="0" applyFont="1" applyBorder="1" applyAlignment="1">
      <alignment horizontal="center" vertical="center" wrapText="1"/>
    </xf>
    <xf numFmtId="14" fontId="35" fillId="0" borderId="9" xfId="0" applyNumberFormat="1" applyFont="1" applyBorder="1" applyAlignment="1">
      <alignment horizontal="center" vertical="center"/>
    </xf>
    <xf numFmtId="0" fontId="28" fillId="0" borderId="9" xfId="0" applyFont="1" applyBorder="1" applyAlignment="1">
      <alignment horizontal="center" vertical="center"/>
    </xf>
    <xf numFmtId="9" fontId="35" fillId="0" borderId="9" xfId="0" applyNumberFormat="1" applyFont="1" applyBorder="1" applyAlignment="1">
      <alignment horizontal="center" vertical="center" wrapText="1"/>
    </xf>
    <xf numFmtId="9" fontId="35" fillId="0" borderId="8" xfId="0" applyNumberFormat="1" applyFont="1" applyBorder="1" applyAlignment="1">
      <alignment vertical="center" wrapText="1"/>
    </xf>
    <xf numFmtId="0" fontId="30" fillId="0" borderId="8" xfId="0" applyFont="1" applyBorder="1" applyAlignment="1">
      <alignment vertical="center" wrapText="1"/>
    </xf>
    <xf numFmtId="0" fontId="30" fillId="0" borderId="8" xfId="0" applyFont="1" applyBorder="1" applyAlignment="1">
      <alignment vertical="center"/>
    </xf>
    <xf numFmtId="0" fontId="36" fillId="0" borderId="8" xfId="0" applyFont="1" applyBorder="1" applyAlignment="1">
      <alignment horizontal="left" vertical="center" wrapText="1"/>
    </xf>
    <xf numFmtId="0" fontId="35" fillId="0" borderId="33" xfId="0" applyFont="1" applyBorder="1" applyAlignment="1">
      <alignment horizontal="center" vertical="center"/>
    </xf>
    <xf numFmtId="0" fontId="35" fillId="0" borderId="8" xfId="0" applyFont="1" applyBorder="1" applyAlignment="1">
      <alignment horizontal="center" vertical="center"/>
    </xf>
    <xf numFmtId="9" fontId="35" fillId="0" borderId="8" xfId="0" applyNumberFormat="1" applyFont="1" applyBorder="1" applyAlignment="1">
      <alignment horizontal="center" vertical="center"/>
    </xf>
    <xf numFmtId="164" fontId="35" fillId="0" borderId="8"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1" xfId="0" applyBorder="1"/>
    <xf numFmtId="0" fontId="35" fillId="0" borderId="35" xfId="0" applyFont="1" applyBorder="1" applyAlignment="1">
      <alignment horizontal="center" vertical="center" wrapText="1"/>
    </xf>
    <xf numFmtId="0" fontId="35" fillId="0" borderId="1" xfId="0" applyFont="1" applyBorder="1" applyAlignment="1">
      <alignment horizontal="center" vertical="center"/>
    </xf>
    <xf numFmtId="0" fontId="35" fillId="0" borderId="33" xfId="0" applyFont="1" applyBorder="1" applyAlignment="1">
      <alignment horizontal="center" vertical="center" wrapText="1"/>
    </xf>
    <xf numFmtId="14" fontId="35" fillId="0" borderId="8" xfId="0" applyNumberFormat="1" applyFont="1" applyBorder="1" applyAlignment="1">
      <alignment horizontal="center" vertical="center"/>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xf>
    <xf numFmtId="0" fontId="37" fillId="10" borderId="0" xfId="0" applyFont="1" applyFill="1" applyAlignment="1">
      <alignment vertical="center"/>
    </xf>
    <xf numFmtId="0" fontId="38" fillId="10" borderId="0" xfId="0" applyFont="1" applyFill="1" applyAlignment="1">
      <alignment horizontal="left" vertical="center"/>
    </xf>
    <xf numFmtId="0" fontId="39" fillId="2" borderId="6"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164" fontId="0" fillId="0" borderId="1" xfId="1" applyNumberFormat="1" applyFont="1" applyBorder="1" applyAlignment="1" applyProtection="1">
      <alignment horizontal="center" vertical="center" wrapText="1"/>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hidden="1"/>
    </xf>
    <xf numFmtId="17" fontId="3" fillId="2" borderId="1" xfId="0" applyNumberFormat="1" applyFont="1" applyFill="1" applyBorder="1" applyAlignment="1" applyProtection="1">
      <alignment vertical="center"/>
      <protection locked="0"/>
    </xf>
    <xf numFmtId="0" fontId="0" fillId="2" borderId="0" xfId="0" applyFill="1"/>
    <xf numFmtId="0" fontId="26" fillId="0" borderId="0" xfId="0" applyFont="1"/>
    <xf numFmtId="0" fontId="7" fillId="3" borderId="1" xfId="0" applyFont="1" applyFill="1" applyBorder="1" applyAlignment="1">
      <alignment vertical="center"/>
    </xf>
    <xf numFmtId="0" fontId="26" fillId="3" borderId="1" xfId="0" applyFont="1" applyFill="1" applyBorder="1" applyAlignment="1">
      <alignment vertical="center"/>
    </xf>
    <xf numFmtId="0" fontId="26" fillId="3" borderId="1" xfId="0" applyFont="1" applyFill="1" applyBorder="1" applyAlignment="1">
      <alignment vertical="center" wrapText="1"/>
    </xf>
    <xf numFmtId="0" fontId="26" fillId="3" borderId="1" xfId="0" applyFont="1" applyFill="1" applyBorder="1" applyAlignment="1">
      <alignment horizontal="center" vertical="center"/>
    </xf>
    <xf numFmtId="0" fontId="46" fillId="11" borderId="9" xfId="0" applyFont="1" applyFill="1" applyBorder="1" applyAlignment="1">
      <alignment horizontal="center" vertical="center"/>
    </xf>
    <xf numFmtId="0" fontId="49"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9" fontId="3" fillId="0" borderId="1" xfId="0" applyNumberFormat="1"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textRotation="90" wrapText="1"/>
      <protection locked="0"/>
    </xf>
    <xf numFmtId="164" fontId="3" fillId="0" borderId="1" xfId="1" applyNumberFormat="1"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24" fillId="0" borderId="1" xfId="0" applyFont="1" applyBorder="1" applyAlignment="1" applyProtection="1">
      <alignment horizontal="justify" vertical="center" wrapText="1"/>
      <protection locked="0"/>
    </xf>
    <xf numFmtId="0" fontId="4" fillId="0" borderId="1" xfId="0" applyFont="1" applyBorder="1" applyAlignment="1">
      <alignment horizontal="center" vertical="center"/>
    </xf>
    <xf numFmtId="0" fontId="19" fillId="3" borderId="1"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51" fillId="2" borderId="0" xfId="0" applyFont="1" applyFill="1" applyAlignment="1" applyProtection="1">
      <alignment vertical="center"/>
      <protection locked="0"/>
    </xf>
    <xf numFmtId="0" fontId="4"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9" fontId="3" fillId="0" borderId="1" xfId="0" applyNumberFormat="1" applyFont="1" applyBorder="1" applyAlignment="1">
      <alignment horizontal="center" vertical="center"/>
    </xf>
    <xf numFmtId="164" fontId="3" fillId="0" borderId="1" xfId="1" applyNumberFormat="1" applyFont="1" applyBorder="1" applyAlignment="1" applyProtection="1">
      <alignment horizontal="center" vertical="center"/>
    </xf>
    <xf numFmtId="0" fontId="24" fillId="0" borderId="1" xfId="0" applyFont="1" applyBorder="1" applyAlignment="1" applyProtection="1">
      <alignment horizontal="center" vertical="center"/>
      <protection locked="0"/>
    </xf>
    <xf numFmtId="0" fontId="51" fillId="2" borderId="0" xfId="0" applyFont="1" applyFill="1" applyAlignment="1">
      <alignment horizontal="center" vertical="center"/>
    </xf>
    <xf numFmtId="0" fontId="52" fillId="2" borderId="0" xfId="0" applyFont="1" applyFill="1" applyAlignment="1">
      <alignment horizontal="center" vertical="center"/>
    </xf>
    <xf numFmtId="0" fontId="51" fillId="2" borderId="0" xfId="0" applyFont="1" applyFill="1" applyAlignment="1" applyProtection="1">
      <alignment horizontal="center" vertical="center"/>
      <protection locked="0"/>
    </xf>
    <xf numFmtId="0" fontId="22" fillId="2" borderId="0" xfId="0" applyFont="1" applyFill="1" applyAlignment="1" applyProtection="1">
      <alignment vertical="center"/>
      <protection locked="0"/>
    </xf>
    <xf numFmtId="0" fontId="54" fillId="2" borderId="0" xfId="0" applyFont="1" applyFill="1" applyAlignment="1">
      <alignment vertical="center"/>
    </xf>
    <xf numFmtId="0" fontId="11" fillId="0" borderId="1" xfId="0" applyFont="1" applyBorder="1" applyAlignment="1">
      <alignment horizontal="center" vertical="center"/>
    </xf>
    <xf numFmtId="0" fontId="13" fillId="6" borderId="1" xfId="0" applyFont="1" applyFill="1" applyBorder="1" applyAlignment="1">
      <alignment horizontal="center" vertical="center" textRotation="90"/>
    </xf>
    <xf numFmtId="0" fontId="11" fillId="0" borderId="1" xfId="0"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0" fillId="2" borderId="1" xfId="0" applyFill="1" applyBorder="1" applyAlignment="1" applyProtection="1">
      <alignment horizontal="center" vertical="center" wrapText="1"/>
      <protection locked="0"/>
    </xf>
    <xf numFmtId="0" fontId="2" fillId="3" borderId="1" xfId="0" applyFont="1" applyFill="1" applyBorder="1" applyAlignment="1">
      <alignment vertical="center"/>
    </xf>
    <xf numFmtId="0" fontId="1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9" fontId="0" fillId="0" borderId="1" xfId="0" applyNumberFormat="1" applyBorder="1" applyAlignment="1" applyProtection="1">
      <alignment vertical="center" wrapText="1"/>
      <protection locked="0"/>
    </xf>
    <xf numFmtId="9" fontId="0" fillId="0" borderId="1" xfId="0" applyNumberFormat="1" applyBorder="1" applyAlignment="1">
      <alignment vertical="center" wrapText="1"/>
    </xf>
    <xf numFmtId="0" fontId="49" fillId="0" borderId="5" xfId="0" applyFont="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6" fillId="0" borderId="45" xfId="0" applyFont="1" applyBorder="1" applyAlignment="1" applyProtection="1">
      <alignment horizontal="justify" vertical="center" wrapText="1"/>
      <protection locked="0"/>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textRotation="90" wrapText="1"/>
      <protection locked="0"/>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textRotation="90" wrapText="1"/>
      <protection locked="0"/>
    </xf>
    <xf numFmtId="0" fontId="3" fillId="0" borderId="22"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2" xfId="0" applyFont="1" applyBorder="1" applyAlignment="1">
      <alignment horizontal="center" vertical="center"/>
    </xf>
    <xf numFmtId="0" fontId="23" fillId="0" borderId="22" xfId="0" applyFont="1" applyBorder="1" applyAlignment="1" applyProtection="1">
      <alignment horizontal="justify" vertical="center" wrapText="1"/>
      <protection locked="0"/>
    </xf>
    <xf numFmtId="0" fontId="0" fillId="0" borderId="22" xfId="0" applyBorder="1" applyAlignment="1">
      <alignment horizontal="center" vertical="center" wrapText="1"/>
    </xf>
    <xf numFmtId="0" fontId="0" fillId="0" borderId="22" xfId="0" applyBorder="1" applyAlignment="1" applyProtection="1">
      <alignment horizontal="center" vertical="center"/>
      <protection hidden="1"/>
    </xf>
    <xf numFmtId="0" fontId="0" fillId="0" borderId="22" xfId="0" applyBorder="1" applyAlignment="1" applyProtection="1">
      <alignment horizontal="center" vertical="center"/>
      <protection locked="0"/>
    </xf>
    <xf numFmtId="9" fontId="0" fillId="0" borderId="22" xfId="0" applyNumberFormat="1" applyBorder="1" applyAlignment="1" applyProtection="1">
      <alignment horizontal="center" vertical="center"/>
      <protection hidden="1"/>
    </xf>
    <xf numFmtId="164" fontId="3" fillId="0" borderId="22" xfId="1" applyNumberFormat="1" applyFont="1" applyFill="1" applyBorder="1" applyAlignment="1">
      <alignment horizontal="center" vertical="center"/>
    </xf>
    <xf numFmtId="0" fontId="3" fillId="0" borderId="24" xfId="0" applyFont="1" applyBorder="1" applyAlignment="1">
      <alignment horizontal="center" vertical="center"/>
    </xf>
    <xf numFmtId="0" fontId="23" fillId="0" borderId="24" xfId="0" applyFont="1" applyBorder="1" applyAlignment="1" applyProtection="1">
      <alignment horizontal="justify" vertical="center" wrapText="1"/>
      <protection locked="0"/>
    </xf>
    <xf numFmtId="0" fontId="24" fillId="0" borderId="24" xfId="0" applyFont="1" applyBorder="1" applyAlignment="1" applyProtection="1">
      <alignment horizontal="center" vertical="center" wrapText="1"/>
      <protection locked="0"/>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protection locked="0"/>
    </xf>
    <xf numFmtId="9" fontId="0" fillId="0" borderId="24" xfId="0" applyNumberFormat="1" applyBorder="1" applyAlignment="1" applyProtection="1">
      <alignment horizontal="center" vertical="center"/>
      <protection hidden="1"/>
    </xf>
    <xf numFmtId="164" fontId="3" fillId="0" borderId="24" xfId="1" applyNumberFormat="1" applyFont="1" applyFill="1" applyBorder="1" applyAlignment="1">
      <alignment horizontal="center" vertical="center"/>
    </xf>
    <xf numFmtId="0" fontId="23" fillId="0" borderId="1" xfId="0" applyFont="1" applyBorder="1" applyAlignment="1" applyProtection="1">
      <alignment horizontal="justify" vertical="center" wrapText="1"/>
      <protection locked="0"/>
    </xf>
    <xf numFmtId="0" fontId="0" fillId="0" borderId="21" xfId="0" applyBorder="1" applyAlignment="1">
      <alignment horizontal="center" vertical="center" wrapText="1"/>
    </xf>
    <xf numFmtId="9" fontId="3" fillId="0" borderId="22" xfId="0" applyNumberFormat="1" applyFont="1" applyBorder="1" applyAlignment="1" applyProtection="1">
      <alignment horizontal="center" vertical="center"/>
      <protection hidden="1"/>
    </xf>
    <xf numFmtId="9" fontId="3" fillId="0" borderId="24" xfId="0" applyNumberFormat="1" applyFont="1" applyBorder="1" applyAlignment="1" applyProtection="1">
      <alignment horizontal="center" vertical="center"/>
      <protection hidden="1"/>
    </xf>
    <xf numFmtId="0" fontId="3" fillId="0" borderId="22" xfId="0" applyFont="1" applyBorder="1" applyAlignment="1" applyProtection="1">
      <alignment horizontal="center" vertical="center" textRotation="90"/>
      <protection locked="0"/>
    </xf>
    <xf numFmtId="14" fontId="3" fillId="0" borderId="22"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textRotation="90"/>
      <protection locked="0"/>
    </xf>
    <xf numFmtId="14" fontId="3" fillId="0" borderId="24"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24" fillId="0" borderId="1" xfId="0" applyFont="1" applyBorder="1" applyAlignment="1" applyProtection="1">
      <alignment horizontal="justify" vertical="top" wrapText="1"/>
      <protection locked="0"/>
    </xf>
    <xf numFmtId="9" fontId="0" fillId="0" borderId="1" xfId="0" applyNumberFormat="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8" fillId="0" borderId="8" xfId="0" applyFont="1" applyBorder="1" applyAlignment="1">
      <alignment horizontal="center" vertical="center"/>
    </xf>
    <xf numFmtId="0" fontId="11" fillId="0" borderId="10" xfId="0" applyFont="1" applyBorder="1" applyAlignment="1">
      <alignment horizontal="center" vertical="center"/>
    </xf>
    <xf numFmtId="0" fontId="2" fillId="7"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12" fillId="0" borderId="18" xfId="0" applyFont="1" applyBorder="1" applyAlignment="1">
      <alignment horizontal="center" vertical="center"/>
    </xf>
    <xf numFmtId="0" fontId="11" fillId="0" borderId="14" xfId="0" applyFont="1" applyBorder="1"/>
    <xf numFmtId="0" fontId="16" fillId="0" borderId="8" xfId="0" applyFont="1" applyBorder="1" applyAlignment="1">
      <alignment horizontal="center" vertical="center" wrapText="1"/>
    </xf>
    <xf numFmtId="0" fontId="11" fillId="0" borderId="19" xfId="0" applyFont="1" applyBorder="1"/>
    <xf numFmtId="0" fontId="12" fillId="0" borderId="8" xfId="0" applyFont="1" applyBorder="1" applyAlignment="1">
      <alignment horizontal="center" vertical="center" wrapText="1"/>
    </xf>
    <xf numFmtId="0" fontId="2" fillId="8" borderId="1" xfId="0" applyFont="1" applyFill="1" applyBorder="1" applyAlignment="1">
      <alignment horizontal="center" vertical="center"/>
    </xf>
    <xf numFmtId="0" fontId="7" fillId="4" borderId="1" xfId="0" applyFont="1" applyFill="1" applyBorder="1" applyAlignment="1">
      <alignment horizontal="center" vertical="center" textRotation="90"/>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0" fontId="2" fillId="8"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0" borderId="1" xfId="0" applyFont="1" applyBorder="1" applyAlignment="1">
      <alignment horizontal="center" vertical="center"/>
    </xf>
    <xf numFmtId="0" fontId="5" fillId="3" borderId="1" xfId="0"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43" fillId="2" borderId="2" xfId="0" applyFont="1" applyFill="1" applyBorder="1" applyAlignment="1" applyProtection="1">
      <alignment horizontal="center" vertical="center" wrapText="1"/>
      <protection locked="0"/>
    </xf>
    <xf numFmtId="0" fontId="43" fillId="2" borderId="3"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center" vertical="center" wrapText="1"/>
      <protection locked="0"/>
    </xf>
    <xf numFmtId="0" fontId="43" fillId="2" borderId="1"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9" fontId="0" fillId="0" borderId="6" xfId="0" applyNumberFormat="1" applyBorder="1" applyAlignment="1" applyProtection="1">
      <alignment horizontal="center" vertical="center" wrapText="1"/>
      <protection locked="0"/>
    </xf>
    <xf numFmtId="9" fontId="12" fillId="0" borderId="5"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9" fontId="12" fillId="0" borderId="11"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9" fontId="8" fillId="0" borderId="1"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9" fontId="3" fillId="0" borderId="5" xfId="0" applyNumberFormat="1" applyFont="1" applyBorder="1" applyAlignment="1" applyProtection="1">
      <alignment horizontal="center" vertical="center" wrapText="1"/>
      <protection hidden="1"/>
    </xf>
    <xf numFmtId="9" fontId="3" fillId="0" borderId="6"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14" fontId="8" fillId="0" borderId="5" xfId="0" applyNumberFormat="1"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0" fontId="8" fillId="10" borderId="8" xfId="0" applyFont="1" applyFill="1" applyBorder="1" applyAlignment="1">
      <alignment horizontal="center" vertical="center" wrapText="1"/>
    </xf>
    <xf numFmtId="0" fontId="9" fillId="0" borderId="10" xfId="0" applyFont="1" applyBorder="1" applyAlignment="1">
      <alignment horizontal="center" vertical="center"/>
    </xf>
    <xf numFmtId="0" fontId="8" fillId="2" borderId="1" xfId="0" applyFont="1" applyFill="1" applyBorder="1" applyAlignment="1">
      <alignment horizontal="justify" vertical="center" wrapText="1"/>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6" xfId="0" applyFont="1" applyFill="1" applyBorder="1" applyAlignment="1">
      <alignment horizontal="justify" vertical="center" wrapText="1"/>
    </xf>
    <xf numFmtId="0" fontId="6" fillId="2" borderId="1" xfId="0" applyFont="1" applyFill="1" applyBorder="1" applyAlignment="1" applyProtection="1">
      <alignment horizontal="center" vertical="center" wrapText="1"/>
      <protection locked="0"/>
    </xf>
    <xf numFmtId="14" fontId="0" fillId="0" borderId="5"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0" fontId="0" fillId="0" borderId="1" xfId="0" applyBorder="1" applyAlignment="1">
      <alignment horizontal="center" vertical="center"/>
    </xf>
    <xf numFmtId="0" fontId="43" fillId="0" borderId="5"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justify" vertical="center" wrapText="1"/>
    </xf>
    <xf numFmtId="0" fontId="0" fillId="2" borderId="6" xfId="0" applyFill="1" applyBorder="1" applyAlignment="1">
      <alignment horizontal="justify" vertical="center" wrapText="1"/>
    </xf>
    <xf numFmtId="0" fontId="40"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hidden="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9" fillId="2" borderId="5" xfId="0" applyFont="1" applyFill="1" applyBorder="1" applyAlignment="1">
      <alignment horizontal="justify" vertical="center" wrapText="1"/>
    </xf>
    <xf numFmtId="0" fontId="9" fillId="2" borderId="6" xfId="0" applyFont="1" applyFill="1" applyBorder="1" applyAlignment="1">
      <alignment horizontal="justify" vertical="center" wrapText="1"/>
    </xf>
    <xf numFmtId="9" fontId="8" fillId="0" borderId="5" xfId="0" applyNumberFormat="1" applyFont="1" applyBorder="1" applyAlignment="1" applyProtection="1">
      <alignment horizontal="center" vertical="center" wrapText="1"/>
      <protection hidden="1"/>
    </xf>
    <xf numFmtId="9" fontId="8" fillId="0" borderId="6" xfId="0" applyNumberFormat="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26"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2" borderId="0" xfId="0" applyFont="1" applyFill="1" applyAlignment="1">
      <alignment horizontal="left" vertical="center"/>
    </xf>
    <xf numFmtId="0" fontId="14" fillId="2" borderId="0" xfId="0" applyFont="1" applyFill="1" applyAlignment="1">
      <alignment horizontal="left" vertical="center"/>
    </xf>
    <xf numFmtId="0" fontId="26"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4" fillId="0" borderId="22"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9" fontId="3" fillId="0" borderId="22" xfId="0" applyNumberFormat="1" applyFont="1" applyBorder="1" applyAlignment="1" applyProtection="1">
      <alignment horizontal="center" vertical="center" wrapText="1"/>
      <protection hidden="1"/>
    </xf>
    <xf numFmtId="9" fontId="3" fillId="0" borderId="24" xfId="0" applyNumberFormat="1" applyFont="1" applyBorder="1" applyAlignment="1" applyProtection="1">
      <alignment horizontal="center" vertical="center" wrapText="1"/>
      <protection hidden="1"/>
    </xf>
    <xf numFmtId="9" fontId="3" fillId="0" borderId="22" xfId="0" applyNumberFormat="1" applyFont="1" applyBorder="1" applyAlignment="1" applyProtection="1">
      <alignment horizontal="center" vertical="center" wrapText="1"/>
      <protection locked="0"/>
    </xf>
    <xf numFmtId="9" fontId="3" fillId="0" borderId="24" xfId="0" applyNumberFormat="1" applyFont="1" applyBorder="1" applyAlignment="1" applyProtection="1">
      <alignment horizontal="center" vertical="center" wrapText="1"/>
      <protection locked="0"/>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0" fontId="4" fillId="0" borderId="22"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1" fillId="4" borderId="1" xfId="0" applyFont="1" applyFill="1" applyBorder="1" applyAlignment="1">
      <alignment horizontal="center" vertical="center" textRotation="90"/>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19" fillId="3" borderId="1" xfId="0" applyFont="1" applyFill="1" applyBorder="1" applyAlignment="1">
      <alignment horizontal="left" vertical="center"/>
    </xf>
    <xf numFmtId="0" fontId="20" fillId="2" borderId="1"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4" fillId="0" borderId="1" xfId="0" applyFont="1" applyBorder="1" applyAlignment="1">
      <alignment horizontal="center"/>
    </xf>
    <xf numFmtId="0" fontId="0" fillId="0" borderId="1" xfId="0"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7" fillId="4" borderId="1" xfId="0" applyFont="1" applyFill="1" applyBorder="1" applyAlignment="1">
      <alignment horizontal="center" vertical="center" textRotation="90" wrapText="1"/>
    </xf>
    <xf numFmtId="0" fontId="18"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2" fillId="3" borderId="1" xfId="0" applyFont="1" applyFill="1" applyBorder="1" applyAlignment="1">
      <alignment horizontal="left"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2" fillId="4" borderId="1" xfId="0" applyFont="1" applyFill="1" applyBorder="1" applyAlignment="1">
      <alignment horizontal="center" vertical="center" textRotation="9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30" fillId="14" borderId="17" xfId="0" applyFont="1" applyFill="1" applyBorder="1" applyAlignment="1">
      <alignment horizontal="center" vertical="center"/>
    </xf>
    <xf numFmtId="0" fontId="29" fillId="0" borderId="34" xfId="0" applyFont="1" applyBorder="1"/>
    <xf numFmtId="0" fontId="29" fillId="0" borderId="35" xfId="0" applyFont="1" applyBorder="1"/>
    <xf numFmtId="0" fontId="30" fillId="15" borderId="17" xfId="0" applyFont="1" applyFill="1" applyBorder="1" applyAlignment="1">
      <alignment horizontal="center" vertical="center"/>
    </xf>
    <xf numFmtId="0" fontId="30" fillId="16" borderId="17" xfId="0" applyFont="1" applyFill="1" applyBorder="1" applyAlignment="1">
      <alignment horizontal="center" vertical="center"/>
    </xf>
    <xf numFmtId="0" fontId="32" fillId="11" borderId="17" xfId="0" applyFont="1" applyFill="1" applyBorder="1" applyAlignment="1">
      <alignment horizontal="left" vertical="center"/>
    </xf>
    <xf numFmtId="0" fontId="33" fillId="10" borderId="17" xfId="0" applyFont="1" applyFill="1" applyBorder="1" applyAlignment="1">
      <alignment horizontal="center" vertical="center"/>
    </xf>
    <xf numFmtId="0" fontId="32" fillId="11" borderId="17" xfId="0" applyFont="1" applyFill="1" applyBorder="1" applyAlignment="1">
      <alignment horizontal="center" vertical="center"/>
    </xf>
    <xf numFmtId="0" fontId="29" fillId="0" borderId="35" xfId="0" applyFont="1" applyBorder="1" applyAlignment="1">
      <alignment horizontal="center"/>
    </xf>
    <xf numFmtId="0" fontId="44" fillId="10" borderId="17" xfId="0" applyFont="1" applyFill="1" applyBorder="1" applyAlignment="1">
      <alignment horizontal="center" vertical="center" wrapText="1"/>
    </xf>
    <xf numFmtId="0" fontId="45" fillId="0" borderId="34" xfId="0" applyFont="1" applyBorder="1" applyAlignment="1">
      <alignment horizontal="center"/>
    </xf>
    <xf numFmtId="0" fontId="45" fillId="0" borderId="35" xfId="0" applyFont="1" applyBorder="1" applyAlignment="1">
      <alignment horizontal="center"/>
    </xf>
    <xf numFmtId="0" fontId="30" fillId="13" borderId="8" xfId="0" applyFont="1" applyFill="1" applyBorder="1" applyAlignment="1">
      <alignment horizontal="center" vertical="center" wrapText="1"/>
    </xf>
    <xf numFmtId="0" fontId="29" fillId="0" borderId="10" xfId="0" applyFont="1" applyBorder="1"/>
    <xf numFmtId="0" fontId="28" fillId="0" borderId="31" xfId="0" applyFont="1" applyBorder="1" applyAlignment="1">
      <alignment horizontal="center" vertical="center"/>
    </xf>
    <xf numFmtId="0" fontId="29" fillId="0" borderId="32" xfId="0" applyFont="1" applyBorder="1"/>
    <xf numFmtId="0" fontId="29" fillId="0" borderId="33" xfId="0" applyFont="1" applyBorder="1"/>
    <xf numFmtId="0" fontId="29" fillId="0" borderId="36" xfId="0" applyFont="1" applyBorder="1"/>
    <xf numFmtId="0" fontId="0" fillId="0" borderId="0" xfId="0"/>
    <xf numFmtId="0" fontId="29" fillId="0" borderId="37" xfId="0" applyFont="1" applyBorder="1"/>
    <xf numFmtId="0" fontId="29" fillId="0" borderId="38" xfId="0" applyFont="1" applyBorder="1"/>
    <xf numFmtId="0" fontId="29" fillId="0" borderId="39" xfId="0" applyFont="1" applyBorder="1"/>
    <xf numFmtId="0" fontId="29" fillId="0" borderId="40" xfId="0" applyFont="1" applyBorder="1"/>
    <xf numFmtId="0" fontId="30" fillId="0" borderId="17" xfId="0" applyFont="1" applyBorder="1" applyAlignment="1">
      <alignment horizontal="center" vertical="center"/>
    </xf>
    <xf numFmtId="0" fontId="31" fillId="0" borderId="17" xfId="0" applyFont="1" applyBorder="1" applyAlignment="1">
      <alignment horizontal="center" vertical="center"/>
    </xf>
    <xf numFmtId="0" fontId="30" fillId="0" borderId="31" xfId="0" applyFont="1" applyBorder="1" applyAlignment="1">
      <alignment horizontal="center" vertical="center"/>
    </xf>
    <xf numFmtId="0" fontId="34" fillId="12" borderId="8" xfId="0" applyFont="1" applyFill="1" applyBorder="1" applyAlignment="1">
      <alignment horizontal="center" vertical="center" textRotation="90"/>
    </xf>
    <xf numFmtId="0" fontId="30" fillId="12" borderId="8" xfId="0" applyFont="1" applyFill="1" applyBorder="1" applyAlignment="1">
      <alignment horizontal="center" vertical="center"/>
    </xf>
    <xf numFmtId="0" fontId="30" fillId="12" borderId="8" xfId="0" applyFont="1" applyFill="1" applyBorder="1" applyAlignment="1">
      <alignment horizontal="center" vertical="center" wrapText="1"/>
    </xf>
    <xf numFmtId="0" fontId="47" fillId="10" borderId="17" xfId="0" applyFont="1" applyFill="1" applyBorder="1" applyAlignment="1">
      <alignment horizontal="left" vertical="top" wrapText="1"/>
    </xf>
    <xf numFmtId="0" fontId="48" fillId="0" borderId="34" xfId="0" applyFont="1" applyBorder="1"/>
    <xf numFmtId="0" fontId="48" fillId="0" borderId="35" xfId="0" applyFont="1" applyBorder="1"/>
    <xf numFmtId="0" fontId="30" fillId="12" borderId="17" xfId="0" applyFont="1" applyFill="1" applyBorder="1" applyAlignment="1">
      <alignment horizontal="center" vertical="center"/>
    </xf>
    <xf numFmtId="0" fontId="30" fillId="13" borderId="17" xfId="0" applyFont="1" applyFill="1" applyBorder="1" applyAlignment="1">
      <alignment horizontal="center" vertical="center"/>
    </xf>
    <xf numFmtId="0" fontId="30" fillId="13" borderId="8" xfId="0" applyFont="1" applyFill="1" applyBorder="1" applyAlignment="1">
      <alignment horizontal="center" vertical="center"/>
    </xf>
    <xf numFmtId="0" fontId="30" fillId="15" borderId="8" xfId="0" applyFont="1" applyFill="1" applyBorder="1" applyAlignment="1">
      <alignment horizontal="center" vertical="center" textRotation="90" wrapText="1"/>
    </xf>
    <xf numFmtId="0" fontId="30" fillId="14" borderId="8" xfId="0" applyFont="1" applyFill="1" applyBorder="1" applyAlignment="1">
      <alignment horizontal="center" vertical="center" textRotation="90" wrapText="1"/>
    </xf>
    <xf numFmtId="0" fontId="30" fillId="14" borderId="8" xfId="0" applyFont="1" applyFill="1" applyBorder="1" applyAlignment="1">
      <alignment horizontal="center" vertical="center" wrapText="1"/>
    </xf>
    <xf numFmtId="0" fontId="30" fillId="14" borderId="17" xfId="0" applyFont="1" applyFill="1" applyBorder="1" applyAlignment="1">
      <alignment horizontal="center" vertical="center" wrapText="1"/>
    </xf>
    <xf numFmtId="0" fontId="30" fillId="16" borderId="8" xfId="0" applyFont="1" applyFill="1" applyBorder="1" applyAlignment="1">
      <alignment horizontal="center" vertical="center" wrapText="1"/>
    </xf>
    <xf numFmtId="0" fontId="30" fillId="0" borderId="8" xfId="0" applyFont="1" applyBorder="1" applyAlignment="1">
      <alignment horizontal="center" vertical="center"/>
    </xf>
    <xf numFmtId="0" fontId="28" fillId="0" borderId="8" xfId="0" applyFont="1" applyBorder="1" applyAlignment="1">
      <alignment horizontal="center" vertical="center"/>
    </xf>
    <xf numFmtId="0" fontId="35" fillId="0" borderId="8" xfId="0" applyFont="1" applyBorder="1" applyAlignment="1">
      <alignment horizontal="center" vertical="center" wrapText="1"/>
    </xf>
    <xf numFmtId="0" fontId="30" fillId="0" borderId="8" xfId="0" applyFont="1" applyBorder="1" applyAlignment="1">
      <alignment horizontal="center" vertical="center" wrapText="1"/>
    </xf>
    <xf numFmtId="9" fontId="35" fillId="0" borderId="8" xfId="0" applyNumberFormat="1" applyFont="1" applyBorder="1" applyAlignment="1">
      <alignment horizontal="center" vertical="center" wrapText="1"/>
    </xf>
    <xf numFmtId="0" fontId="35" fillId="0" borderId="17"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5" xfId="0"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0" fillId="0" borderId="1" xfId="0" applyBorder="1" applyAlignment="1" applyProtection="1">
      <alignment horizontal="justify" vertical="justify" wrapText="1"/>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27" fillId="2" borderId="1" xfId="0" applyFont="1" applyFill="1" applyBorder="1" applyAlignment="1" applyProtection="1">
      <alignment horizontal="left" vertical="center"/>
      <protection locked="0"/>
    </xf>
    <xf numFmtId="0" fontId="27" fillId="3" borderId="1" xfId="0" applyFont="1" applyFill="1" applyBorder="1" applyAlignment="1">
      <alignment horizontal="left" vertical="center"/>
    </xf>
    <xf numFmtId="0" fontId="5" fillId="2" borderId="1" xfId="0" applyFont="1" applyFill="1" applyBorder="1" applyAlignment="1" applyProtection="1">
      <alignment horizontal="left" vertical="center"/>
      <protection locked="0"/>
    </xf>
    <xf numFmtId="0" fontId="27" fillId="3" borderId="1" xfId="0" applyFont="1" applyFill="1" applyBorder="1" applyAlignment="1">
      <alignment horizontal="center" vertical="center"/>
    </xf>
    <xf numFmtId="0" fontId="2" fillId="2" borderId="2"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0" fontId="27" fillId="0" borderId="1" xfId="0" applyFont="1" applyBorder="1" applyAlignment="1">
      <alignment horizontal="center" vertical="center"/>
    </xf>
    <xf numFmtId="0" fontId="26" fillId="0" borderId="1" xfId="0" applyFont="1" applyBorder="1" applyAlignment="1">
      <alignment horizontal="center" vertical="center"/>
    </xf>
    <xf numFmtId="0" fontId="18" fillId="2" borderId="2" xfId="0" applyFont="1" applyFill="1" applyBorder="1" applyAlignment="1" applyProtection="1">
      <alignment horizontal="justify" vertical="center" wrapText="1"/>
      <protection locked="0"/>
    </xf>
    <xf numFmtId="0" fontId="18" fillId="2" borderId="3" xfId="0" applyFont="1" applyFill="1" applyBorder="1" applyAlignment="1" applyProtection="1">
      <alignment horizontal="justify" vertical="center" wrapText="1"/>
      <protection locked="0"/>
    </xf>
    <xf numFmtId="0" fontId="18" fillId="2" borderId="4" xfId="0" applyFont="1" applyFill="1" applyBorder="1" applyAlignment="1" applyProtection="1">
      <alignment horizontal="justify" vertical="center" wrapText="1"/>
      <protection locked="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9" fontId="12" fillId="0" borderId="1" xfId="0" applyNumberFormat="1" applyFont="1" applyBorder="1" applyAlignment="1" applyProtection="1">
      <alignment horizontal="center" vertical="center" wrapText="1"/>
      <protection hidden="1"/>
    </xf>
    <xf numFmtId="9" fontId="12"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14" fontId="8" fillId="0" borderId="5"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8" fillId="0" borderId="1" xfId="0" applyNumberFormat="1" applyFont="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9" fontId="0" fillId="0" borderId="41" xfId="0" applyNumberFormat="1" applyBorder="1" applyAlignment="1">
      <alignment horizontal="center" vertical="center" wrapText="1"/>
    </xf>
    <xf numFmtId="0" fontId="2" fillId="0" borderId="41"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41" xfId="0"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9" fontId="0" fillId="0" borderId="41" xfId="0" applyNumberFormat="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0" fontId="5" fillId="3" borderId="1" xfId="0" applyFont="1" applyFill="1" applyBorder="1" applyAlignment="1">
      <alignment horizontal="center"/>
    </xf>
    <xf numFmtId="0" fontId="6"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49" fillId="0" borderId="1" xfId="0" applyFont="1" applyBorder="1" applyAlignment="1" applyProtection="1">
      <alignment horizontal="center" vertical="center" wrapText="1"/>
      <protection locked="0"/>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3" fillId="2" borderId="1" xfId="0" applyFont="1" applyFill="1" applyBorder="1" applyAlignment="1" applyProtection="1">
      <alignment horizontal="center" vertical="center" wrapText="1"/>
      <protection locked="0"/>
    </xf>
    <xf numFmtId="0" fontId="53" fillId="2" borderId="1" xfId="0" applyFont="1" applyFill="1" applyBorder="1" applyAlignment="1" applyProtection="1">
      <alignment horizontal="center" vertical="center"/>
      <protection locked="0"/>
    </xf>
    <xf numFmtId="0" fontId="55" fillId="2" borderId="2"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center" vertical="center"/>
      <protection locked="0"/>
    </xf>
    <xf numFmtId="0" fontId="55" fillId="2" borderId="4" xfId="0" applyFont="1" applyFill="1" applyBorder="1" applyAlignment="1" applyProtection="1">
      <alignment horizontal="center" vertical="center"/>
      <protection locked="0"/>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4"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3" fillId="0" borderId="1" xfId="0"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0" fontId="8" fillId="0" borderId="41" xfId="0" applyFont="1" applyBorder="1" applyAlignment="1" applyProtection="1">
      <alignment horizontal="center" vertical="center" wrapText="1"/>
      <protection locked="0"/>
    </xf>
    <xf numFmtId="14" fontId="8" fillId="0" borderId="41" xfId="0" applyNumberFormat="1" applyFont="1" applyBorder="1" applyAlignment="1" applyProtection="1">
      <alignment horizontal="center" vertical="center"/>
      <protection locked="0"/>
    </xf>
    <xf numFmtId="14" fontId="8" fillId="0" borderId="41" xfId="0" applyNumberFormat="1" applyFont="1" applyBorder="1" applyAlignment="1" applyProtection="1">
      <alignment horizontal="center" vertical="center" wrapText="1"/>
      <protection locked="0"/>
    </xf>
    <xf numFmtId="0" fontId="8" fillId="0" borderId="41" xfId="0" applyFont="1" applyBorder="1" applyAlignment="1" applyProtection="1">
      <alignment horizontal="center" vertical="center"/>
      <protection locked="0"/>
    </xf>
  </cellXfs>
  <cellStyles count="2">
    <cellStyle name="Normal" xfId="0" builtinId="0"/>
    <cellStyle name="Porcentaje" xfId="1" builtinId="5"/>
  </cellStyles>
  <dxfs count="856">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339966"/>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externalLink" Target="externalLinks/externalLink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38100</xdr:rowOff>
    </xdr:from>
    <xdr:to>
      <xdr:col>4</xdr:col>
      <xdr:colOff>0</xdr:colOff>
      <xdr:row>9</xdr:row>
      <xdr:rowOff>207250</xdr:rowOff>
    </xdr:to>
    <xdr:pic>
      <xdr:nvPicPr>
        <xdr:cNvPr id="2" name="Imagen 1">
          <a:extLst>
            <a:ext uri="{FF2B5EF4-FFF2-40B4-BE49-F238E27FC236}">
              <a16:creationId xmlns:a16="http://schemas.microsoft.com/office/drawing/2014/main" id="{4E84CF4D-4DCD-4A9C-82BE-28EC52006D79}"/>
            </a:ext>
          </a:extLst>
        </xdr:cNvPr>
        <xdr:cNvPicPr>
          <a:picLocks noChangeAspect="1"/>
        </xdr:cNvPicPr>
      </xdr:nvPicPr>
      <xdr:blipFill>
        <a:blip xmlns:r="http://schemas.openxmlformats.org/officeDocument/2006/relationships" r:embed="rId1"/>
        <a:stretch>
          <a:fillRect/>
        </a:stretch>
      </xdr:blipFill>
      <xdr:spPr>
        <a:xfrm>
          <a:off x="0" y="1466850"/>
          <a:ext cx="3048000" cy="588250"/>
        </a:xfrm>
        <a:prstGeom prst="rect">
          <a:avLst/>
        </a:prstGeom>
      </xdr:spPr>
    </xdr:pic>
    <xdr:clientData/>
  </xdr:twoCellAnchor>
  <xdr:twoCellAnchor editAs="oneCell">
    <xdr:from>
      <xdr:col>0</xdr:col>
      <xdr:colOff>157691</xdr:colOff>
      <xdr:row>35</xdr:row>
      <xdr:rowOff>9525</xdr:rowOff>
    </xdr:from>
    <xdr:to>
      <xdr:col>3</xdr:col>
      <xdr:colOff>606425</xdr:colOff>
      <xdr:row>37</xdr:row>
      <xdr:rowOff>161925</xdr:rowOff>
    </xdr:to>
    <xdr:pic>
      <xdr:nvPicPr>
        <xdr:cNvPr id="3" name="Imagen 2">
          <a:extLst>
            <a:ext uri="{FF2B5EF4-FFF2-40B4-BE49-F238E27FC236}">
              <a16:creationId xmlns:a16="http://schemas.microsoft.com/office/drawing/2014/main" id="{E69D175F-C77D-4E8F-9333-F9D3157B0916}"/>
            </a:ext>
          </a:extLst>
        </xdr:cNvPr>
        <xdr:cNvPicPr>
          <a:picLocks noChangeAspect="1"/>
        </xdr:cNvPicPr>
      </xdr:nvPicPr>
      <xdr:blipFill>
        <a:blip xmlns:r="http://schemas.openxmlformats.org/officeDocument/2006/relationships" r:embed="rId1"/>
        <a:stretch>
          <a:fillRect/>
        </a:stretch>
      </xdr:blipFill>
      <xdr:spPr>
        <a:xfrm>
          <a:off x="157691" y="36480750"/>
          <a:ext cx="2734734" cy="571500"/>
        </a:xfrm>
        <a:prstGeom prst="rect">
          <a:avLst/>
        </a:prstGeom>
      </xdr:spPr>
    </xdr:pic>
    <xdr:clientData/>
  </xdr:twoCellAnchor>
  <xdr:twoCellAnchor editAs="oneCell">
    <xdr:from>
      <xdr:col>0</xdr:col>
      <xdr:colOff>28575</xdr:colOff>
      <xdr:row>67</xdr:row>
      <xdr:rowOff>19050</xdr:rowOff>
    </xdr:from>
    <xdr:to>
      <xdr:col>3</xdr:col>
      <xdr:colOff>723900</xdr:colOff>
      <xdr:row>69</xdr:row>
      <xdr:rowOff>133350</xdr:rowOff>
    </xdr:to>
    <xdr:pic>
      <xdr:nvPicPr>
        <xdr:cNvPr id="4" name="Imagen 3">
          <a:extLst>
            <a:ext uri="{FF2B5EF4-FFF2-40B4-BE49-F238E27FC236}">
              <a16:creationId xmlns:a16="http://schemas.microsoft.com/office/drawing/2014/main" id="{8396AABC-ECB1-44C1-B678-D144DE4BAB99}"/>
            </a:ext>
          </a:extLst>
        </xdr:cNvPr>
        <xdr:cNvPicPr>
          <a:picLocks noChangeAspect="1"/>
        </xdr:cNvPicPr>
      </xdr:nvPicPr>
      <xdr:blipFill>
        <a:blip xmlns:r="http://schemas.openxmlformats.org/officeDocument/2006/relationships" r:embed="rId1"/>
        <a:stretch>
          <a:fillRect/>
        </a:stretch>
      </xdr:blipFill>
      <xdr:spPr>
        <a:xfrm>
          <a:off x="28575" y="64798575"/>
          <a:ext cx="2981325" cy="495300"/>
        </a:xfrm>
        <a:prstGeom prst="rect">
          <a:avLst/>
        </a:prstGeom>
      </xdr:spPr>
    </xdr:pic>
    <xdr:clientData/>
  </xdr:twoCellAnchor>
  <xdr:twoCellAnchor editAs="oneCell">
    <xdr:from>
      <xdr:col>0</xdr:col>
      <xdr:colOff>167216</xdr:colOff>
      <xdr:row>96</xdr:row>
      <xdr:rowOff>38100</xdr:rowOff>
    </xdr:from>
    <xdr:to>
      <xdr:col>3</xdr:col>
      <xdr:colOff>615950</xdr:colOff>
      <xdr:row>98</xdr:row>
      <xdr:rowOff>190500</xdr:rowOff>
    </xdr:to>
    <xdr:pic>
      <xdr:nvPicPr>
        <xdr:cNvPr id="6" name="Imagen 5">
          <a:extLst>
            <a:ext uri="{FF2B5EF4-FFF2-40B4-BE49-F238E27FC236}">
              <a16:creationId xmlns:a16="http://schemas.microsoft.com/office/drawing/2014/main" id="{99C3E129-0C93-4EDE-9C40-7919AFE6A809}"/>
            </a:ext>
          </a:extLst>
        </xdr:cNvPr>
        <xdr:cNvPicPr>
          <a:picLocks noChangeAspect="1"/>
        </xdr:cNvPicPr>
      </xdr:nvPicPr>
      <xdr:blipFill>
        <a:blip xmlns:r="http://schemas.openxmlformats.org/officeDocument/2006/relationships" r:embed="rId1"/>
        <a:stretch>
          <a:fillRect/>
        </a:stretch>
      </xdr:blipFill>
      <xdr:spPr>
        <a:xfrm>
          <a:off x="167216" y="88268175"/>
          <a:ext cx="2734734" cy="571500"/>
        </a:xfrm>
        <a:prstGeom prst="rect">
          <a:avLst/>
        </a:prstGeom>
      </xdr:spPr>
    </xdr:pic>
    <xdr:clientData/>
  </xdr:twoCellAnchor>
  <xdr:twoCellAnchor editAs="oneCell">
    <xdr:from>
      <xdr:col>0</xdr:col>
      <xdr:colOff>138641</xdr:colOff>
      <xdr:row>123</xdr:row>
      <xdr:rowOff>28575</xdr:rowOff>
    </xdr:from>
    <xdr:to>
      <xdr:col>3</xdr:col>
      <xdr:colOff>587375</xdr:colOff>
      <xdr:row>125</xdr:row>
      <xdr:rowOff>161925</xdr:rowOff>
    </xdr:to>
    <xdr:pic>
      <xdr:nvPicPr>
        <xdr:cNvPr id="7" name="Imagen 6">
          <a:extLst>
            <a:ext uri="{FF2B5EF4-FFF2-40B4-BE49-F238E27FC236}">
              <a16:creationId xmlns:a16="http://schemas.microsoft.com/office/drawing/2014/main" id="{163716A8-24BF-47B7-BFDC-B069CD6D966A}"/>
            </a:ext>
          </a:extLst>
        </xdr:cNvPr>
        <xdr:cNvPicPr>
          <a:picLocks noChangeAspect="1"/>
        </xdr:cNvPicPr>
      </xdr:nvPicPr>
      <xdr:blipFill>
        <a:blip xmlns:r="http://schemas.openxmlformats.org/officeDocument/2006/relationships" r:embed="rId1"/>
        <a:stretch>
          <a:fillRect/>
        </a:stretch>
      </xdr:blipFill>
      <xdr:spPr>
        <a:xfrm>
          <a:off x="138641" y="112471200"/>
          <a:ext cx="2734734" cy="552450"/>
        </a:xfrm>
        <a:prstGeom prst="rect">
          <a:avLst/>
        </a:prstGeom>
      </xdr:spPr>
    </xdr:pic>
    <xdr:clientData/>
  </xdr:twoCellAnchor>
  <xdr:twoCellAnchor editAs="oneCell">
    <xdr:from>
      <xdr:col>0</xdr:col>
      <xdr:colOff>252941</xdr:colOff>
      <xdr:row>151</xdr:row>
      <xdr:rowOff>9526</xdr:rowOff>
    </xdr:from>
    <xdr:to>
      <xdr:col>3</xdr:col>
      <xdr:colOff>561975</xdr:colOff>
      <xdr:row>153</xdr:row>
      <xdr:rowOff>142876</xdr:rowOff>
    </xdr:to>
    <xdr:pic>
      <xdr:nvPicPr>
        <xdr:cNvPr id="8" name="Imagen 7">
          <a:extLst>
            <a:ext uri="{FF2B5EF4-FFF2-40B4-BE49-F238E27FC236}">
              <a16:creationId xmlns:a16="http://schemas.microsoft.com/office/drawing/2014/main" id="{965BB47C-4CA4-4265-839A-91BAB7A9BEF9}"/>
            </a:ext>
          </a:extLst>
        </xdr:cNvPr>
        <xdr:cNvPicPr>
          <a:picLocks noChangeAspect="1"/>
        </xdr:cNvPicPr>
      </xdr:nvPicPr>
      <xdr:blipFill>
        <a:blip xmlns:r="http://schemas.openxmlformats.org/officeDocument/2006/relationships" r:embed="rId1"/>
        <a:stretch>
          <a:fillRect/>
        </a:stretch>
      </xdr:blipFill>
      <xdr:spPr>
        <a:xfrm>
          <a:off x="252941" y="128892301"/>
          <a:ext cx="2595034" cy="552450"/>
        </a:xfrm>
        <a:prstGeom prst="rect">
          <a:avLst/>
        </a:prstGeom>
      </xdr:spPr>
    </xdr:pic>
    <xdr:clientData/>
  </xdr:twoCellAnchor>
  <xdr:twoCellAnchor editAs="oneCell">
    <xdr:from>
      <xdr:col>0</xdr:col>
      <xdr:colOff>291041</xdr:colOff>
      <xdr:row>180</xdr:row>
      <xdr:rowOff>28575</xdr:rowOff>
    </xdr:from>
    <xdr:to>
      <xdr:col>3</xdr:col>
      <xdr:colOff>523875</xdr:colOff>
      <xdr:row>182</xdr:row>
      <xdr:rowOff>180975</xdr:rowOff>
    </xdr:to>
    <xdr:pic>
      <xdr:nvPicPr>
        <xdr:cNvPr id="9" name="Imagen 8">
          <a:extLst>
            <a:ext uri="{FF2B5EF4-FFF2-40B4-BE49-F238E27FC236}">
              <a16:creationId xmlns:a16="http://schemas.microsoft.com/office/drawing/2014/main" id="{8642E6DB-DE12-4B1F-90CE-DCB8EFA93A6C}"/>
            </a:ext>
          </a:extLst>
        </xdr:cNvPr>
        <xdr:cNvPicPr>
          <a:picLocks noChangeAspect="1"/>
        </xdr:cNvPicPr>
      </xdr:nvPicPr>
      <xdr:blipFill>
        <a:blip xmlns:r="http://schemas.openxmlformats.org/officeDocument/2006/relationships" r:embed="rId1"/>
        <a:stretch>
          <a:fillRect/>
        </a:stretch>
      </xdr:blipFill>
      <xdr:spPr>
        <a:xfrm>
          <a:off x="291041" y="147046950"/>
          <a:ext cx="2518834"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129115</xdr:colOff>
      <xdr:row>0</xdr:row>
      <xdr:rowOff>66675</xdr:rowOff>
    </xdr:from>
    <xdr:to>
      <xdr:col>3</xdr:col>
      <xdr:colOff>695324</xdr:colOff>
      <xdr:row>3</xdr:row>
      <xdr:rowOff>1</xdr:rowOff>
    </xdr:to>
    <xdr:pic>
      <xdr:nvPicPr>
        <xdr:cNvPr id="2" name="Imagen 1">
          <a:extLst>
            <a:ext uri="{FF2B5EF4-FFF2-40B4-BE49-F238E27FC236}">
              <a16:creationId xmlns:a16="http://schemas.microsoft.com/office/drawing/2014/main" id="{BFC5BDEA-980E-4A14-867A-B09858C10A7B}"/>
            </a:ext>
          </a:extLst>
        </xdr:cNvPr>
        <xdr:cNvPicPr>
          <a:picLocks noChangeAspect="1"/>
        </xdr:cNvPicPr>
      </xdr:nvPicPr>
      <xdr:blipFill>
        <a:blip xmlns:r="http://schemas.openxmlformats.org/officeDocument/2006/relationships" r:embed="rId1"/>
        <a:stretch>
          <a:fillRect/>
        </a:stretch>
      </xdr:blipFill>
      <xdr:spPr>
        <a:xfrm>
          <a:off x="129115" y="66675"/>
          <a:ext cx="2852209" cy="5429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3</xdr:col>
      <xdr:colOff>438150</xdr:colOff>
      <xdr:row>2</xdr:row>
      <xdr:rowOff>157743</xdr:rowOff>
    </xdr:to>
    <xdr:pic>
      <xdr:nvPicPr>
        <xdr:cNvPr id="2" name="Imagen 1">
          <a:extLst>
            <a:ext uri="{FF2B5EF4-FFF2-40B4-BE49-F238E27FC236}">
              <a16:creationId xmlns:a16="http://schemas.microsoft.com/office/drawing/2014/main" id="{7D8E3280-D70B-4248-AFC4-351D7E54ADB8}"/>
            </a:ext>
          </a:extLst>
        </xdr:cNvPr>
        <xdr:cNvPicPr>
          <a:picLocks noChangeAspect="1"/>
        </xdr:cNvPicPr>
      </xdr:nvPicPr>
      <xdr:blipFill>
        <a:blip xmlns:r="http://schemas.openxmlformats.org/officeDocument/2006/relationships" r:embed="rId1"/>
        <a:stretch>
          <a:fillRect/>
        </a:stretch>
      </xdr:blipFill>
      <xdr:spPr>
        <a:xfrm>
          <a:off x="190500" y="9525"/>
          <a:ext cx="2533650" cy="56731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95249</xdr:colOff>
      <xdr:row>0</xdr:row>
      <xdr:rowOff>76200</xdr:rowOff>
    </xdr:from>
    <xdr:to>
      <xdr:col>3</xdr:col>
      <xdr:colOff>666748</xdr:colOff>
      <xdr:row>3</xdr:row>
      <xdr:rowOff>0</xdr:rowOff>
    </xdr:to>
    <xdr:pic>
      <xdr:nvPicPr>
        <xdr:cNvPr id="2" name="Imagen 1">
          <a:extLst>
            <a:ext uri="{FF2B5EF4-FFF2-40B4-BE49-F238E27FC236}">
              <a16:creationId xmlns:a16="http://schemas.microsoft.com/office/drawing/2014/main" id="{CE5948EB-DF4A-4C85-8E8C-741A482AB647}"/>
            </a:ext>
          </a:extLst>
        </xdr:cNvPr>
        <xdr:cNvPicPr>
          <a:picLocks noChangeAspect="1"/>
        </xdr:cNvPicPr>
      </xdr:nvPicPr>
      <xdr:blipFill>
        <a:blip xmlns:r="http://schemas.openxmlformats.org/officeDocument/2006/relationships" r:embed="rId1"/>
        <a:stretch>
          <a:fillRect/>
        </a:stretch>
      </xdr:blipFill>
      <xdr:spPr>
        <a:xfrm>
          <a:off x="95249" y="76200"/>
          <a:ext cx="2857499" cy="5524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180976</xdr:colOff>
      <xdr:row>0</xdr:row>
      <xdr:rowOff>57150</xdr:rowOff>
    </xdr:from>
    <xdr:to>
      <xdr:col>3</xdr:col>
      <xdr:colOff>1152525</xdr:colOff>
      <xdr:row>2</xdr:row>
      <xdr:rowOff>180975</xdr:rowOff>
    </xdr:to>
    <xdr:pic>
      <xdr:nvPicPr>
        <xdr:cNvPr id="3" name="Imagen 2">
          <a:extLst>
            <a:ext uri="{FF2B5EF4-FFF2-40B4-BE49-F238E27FC236}">
              <a16:creationId xmlns:a16="http://schemas.microsoft.com/office/drawing/2014/main" id="{EA984FEC-D321-4B84-8BC6-7E2910568283}"/>
            </a:ext>
          </a:extLst>
        </xdr:cNvPr>
        <xdr:cNvPicPr>
          <a:picLocks noChangeAspect="1"/>
        </xdr:cNvPicPr>
      </xdr:nvPicPr>
      <xdr:blipFill>
        <a:blip xmlns:r="http://schemas.openxmlformats.org/officeDocument/2006/relationships" r:embed="rId1"/>
        <a:stretch>
          <a:fillRect/>
        </a:stretch>
      </xdr:blipFill>
      <xdr:spPr>
        <a:xfrm>
          <a:off x="180976" y="57150"/>
          <a:ext cx="3533774" cy="5429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152400</xdr:colOff>
      <xdr:row>0</xdr:row>
      <xdr:rowOff>66674</xdr:rowOff>
    </xdr:from>
    <xdr:to>
      <xdr:col>3</xdr:col>
      <xdr:colOff>1209675</xdr:colOff>
      <xdr:row>2</xdr:row>
      <xdr:rowOff>152399</xdr:rowOff>
    </xdr:to>
    <xdr:pic>
      <xdr:nvPicPr>
        <xdr:cNvPr id="3" name="Imagen 2">
          <a:extLst>
            <a:ext uri="{FF2B5EF4-FFF2-40B4-BE49-F238E27FC236}">
              <a16:creationId xmlns:a16="http://schemas.microsoft.com/office/drawing/2014/main" id="{0111755C-EC39-4AD1-ADF3-5348F91C4D66}"/>
            </a:ext>
          </a:extLst>
        </xdr:cNvPr>
        <xdr:cNvPicPr>
          <a:picLocks noChangeAspect="1"/>
        </xdr:cNvPicPr>
      </xdr:nvPicPr>
      <xdr:blipFill>
        <a:blip xmlns:r="http://schemas.openxmlformats.org/officeDocument/2006/relationships" r:embed="rId1"/>
        <a:stretch>
          <a:fillRect/>
        </a:stretch>
      </xdr:blipFill>
      <xdr:spPr>
        <a:xfrm>
          <a:off x="152400" y="66674"/>
          <a:ext cx="3619500" cy="5048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100541</xdr:colOff>
      <xdr:row>0</xdr:row>
      <xdr:rowOff>52917</xdr:rowOff>
    </xdr:from>
    <xdr:to>
      <xdr:col>3</xdr:col>
      <xdr:colOff>539750</xdr:colOff>
      <xdr:row>2</xdr:row>
      <xdr:rowOff>186513</xdr:rowOff>
    </xdr:to>
    <xdr:pic>
      <xdr:nvPicPr>
        <xdr:cNvPr id="2" name="Imagen 1">
          <a:extLst>
            <a:ext uri="{FF2B5EF4-FFF2-40B4-BE49-F238E27FC236}">
              <a16:creationId xmlns:a16="http://schemas.microsoft.com/office/drawing/2014/main" id="{C0782B05-86A8-46CB-A3AC-9B027A127165}"/>
            </a:ext>
          </a:extLst>
        </xdr:cNvPr>
        <xdr:cNvPicPr>
          <a:picLocks noChangeAspect="1"/>
        </xdr:cNvPicPr>
      </xdr:nvPicPr>
      <xdr:blipFill>
        <a:blip xmlns:r="http://schemas.openxmlformats.org/officeDocument/2006/relationships" r:embed="rId1"/>
        <a:stretch>
          <a:fillRect/>
        </a:stretch>
      </xdr:blipFill>
      <xdr:spPr>
        <a:xfrm>
          <a:off x="367241" y="52917"/>
          <a:ext cx="2734734" cy="89559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211667</xdr:colOff>
      <xdr:row>0</xdr:row>
      <xdr:rowOff>52916</xdr:rowOff>
    </xdr:from>
    <xdr:to>
      <xdr:col>3</xdr:col>
      <xdr:colOff>1090083</xdr:colOff>
      <xdr:row>2</xdr:row>
      <xdr:rowOff>317499</xdr:rowOff>
    </xdr:to>
    <xdr:pic>
      <xdr:nvPicPr>
        <xdr:cNvPr id="2" name="Imagen 1">
          <a:extLst>
            <a:ext uri="{FF2B5EF4-FFF2-40B4-BE49-F238E27FC236}">
              <a16:creationId xmlns:a16="http://schemas.microsoft.com/office/drawing/2014/main" id="{E62CC30A-6A91-4B82-A48A-349824DE0835}"/>
            </a:ext>
          </a:extLst>
        </xdr:cNvPr>
        <xdr:cNvPicPr>
          <a:picLocks noChangeAspect="1"/>
        </xdr:cNvPicPr>
      </xdr:nvPicPr>
      <xdr:blipFill>
        <a:blip xmlns:r="http://schemas.openxmlformats.org/officeDocument/2006/relationships" r:embed="rId1"/>
        <a:stretch>
          <a:fillRect/>
        </a:stretch>
      </xdr:blipFill>
      <xdr:spPr>
        <a:xfrm>
          <a:off x="211667" y="52916"/>
          <a:ext cx="3439583" cy="10265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129115</xdr:colOff>
      <xdr:row>0</xdr:row>
      <xdr:rowOff>66675</xdr:rowOff>
    </xdr:from>
    <xdr:to>
      <xdr:col>3</xdr:col>
      <xdr:colOff>695324</xdr:colOff>
      <xdr:row>3</xdr:row>
      <xdr:rowOff>1</xdr:rowOff>
    </xdr:to>
    <xdr:pic>
      <xdr:nvPicPr>
        <xdr:cNvPr id="2" name="Imagen 1">
          <a:extLst>
            <a:ext uri="{FF2B5EF4-FFF2-40B4-BE49-F238E27FC236}">
              <a16:creationId xmlns:a16="http://schemas.microsoft.com/office/drawing/2014/main" id="{DF8AB800-B15C-40DD-A60F-8C0E9094228C}"/>
            </a:ext>
          </a:extLst>
        </xdr:cNvPr>
        <xdr:cNvPicPr>
          <a:picLocks noChangeAspect="1"/>
        </xdr:cNvPicPr>
      </xdr:nvPicPr>
      <xdr:blipFill>
        <a:blip xmlns:r="http://schemas.openxmlformats.org/officeDocument/2006/relationships" r:embed="rId1"/>
        <a:stretch>
          <a:fillRect/>
        </a:stretch>
      </xdr:blipFill>
      <xdr:spPr>
        <a:xfrm>
          <a:off x="129115" y="66675"/>
          <a:ext cx="2852209" cy="5619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129115</xdr:colOff>
      <xdr:row>0</xdr:row>
      <xdr:rowOff>66675</xdr:rowOff>
    </xdr:from>
    <xdr:to>
      <xdr:col>3</xdr:col>
      <xdr:colOff>695324</xdr:colOff>
      <xdr:row>3</xdr:row>
      <xdr:rowOff>1</xdr:rowOff>
    </xdr:to>
    <xdr:pic>
      <xdr:nvPicPr>
        <xdr:cNvPr id="2" name="Imagen 1">
          <a:extLst>
            <a:ext uri="{FF2B5EF4-FFF2-40B4-BE49-F238E27FC236}">
              <a16:creationId xmlns:a16="http://schemas.microsoft.com/office/drawing/2014/main" id="{14F042A0-9402-427A-A601-C63B6300B2F5}"/>
            </a:ext>
          </a:extLst>
        </xdr:cNvPr>
        <xdr:cNvPicPr>
          <a:picLocks noChangeAspect="1"/>
        </xdr:cNvPicPr>
      </xdr:nvPicPr>
      <xdr:blipFill>
        <a:blip xmlns:r="http://schemas.openxmlformats.org/officeDocument/2006/relationships" r:embed="rId1"/>
        <a:stretch>
          <a:fillRect/>
        </a:stretch>
      </xdr:blipFill>
      <xdr:spPr>
        <a:xfrm>
          <a:off x="129115" y="66675"/>
          <a:ext cx="2852209" cy="56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3</xdr:col>
      <xdr:colOff>571500</xdr:colOff>
      <xdr:row>2</xdr:row>
      <xdr:rowOff>190500</xdr:rowOff>
    </xdr:to>
    <xdr:pic>
      <xdr:nvPicPr>
        <xdr:cNvPr id="2" name="Imagen 1">
          <a:extLst>
            <a:ext uri="{FF2B5EF4-FFF2-40B4-BE49-F238E27FC236}">
              <a16:creationId xmlns:a16="http://schemas.microsoft.com/office/drawing/2014/main" id="{D5294CA1-B5EF-414E-AED7-B1CA70CE93EE}"/>
            </a:ext>
          </a:extLst>
        </xdr:cNvPr>
        <xdr:cNvPicPr>
          <a:picLocks noChangeAspect="1"/>
        </xdr:cNvPicPr>
      </xdr:nvPicPr>
      <xdr:blipFill>
        <a:blip xmlns:r="http://schemas.openxmlformats.org/officeDocument/2006/relationships" r:embed="rId1"/>
        <a:stretch>
          <a:fillRect/>
        </a:stretch>
      </xdr:blipFill>
      <xdr:spPr>
        <a:xfrm>
          <a:off x="104775" y="0"/>
          <a:ext cx="2752725"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733424</xdr:colOff>
      <xdr:row>2</xdr:row>
      <xdr:rowOff>200025</xdr:rowOff>
    </xdr:to>
    <xdr:pic>
      <xdr:nvPicPr>
        <xdr:cNvPr id="2" name="Imagen 1">
          <a:extLst>
            <a:ext uri="{FF2B5EF4-FFF2-40B4-BE49-F238E27FC236}">
              <a16:creationId xmlns:a16="http://schemas.microsoft.com/office/drawing/2014/main" id="{242907B5-DE95-4FBB-8369-F1C5CF1E035D}"/>
            </a:ext>
          </a:extLst>
        </xdr:cNvPr>
        <xdr:cNvPicPr>
          <a:picLocks noChangeAspect="1"/>
        </xdr:cNvPicPr>
      </xdr:nvPicPr>
      <xdr:blipFill>
        <a:blip xmlns:r="http://schemas.openxmlformats.org/officeDocument/2006/relationships" r:embed="rId1"/>
        <a:stretch>
          <a:fillRect/>
        </a:stretch>
      </xdr:blipFill>
      <xdr:spPr>
        <a:xfrm>
          <a:off x="38100" y="0"/>
          <a:ext cx="2981324"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733424</xdr:colOff>
      <xdr:row>2</xdr:row>
      <xdr:rowOff>123825</xdr:rowOff>
    </xdr:to>
    <xdr:pic>
      <xdr:nvPicPr>
        <xdr:cNvPr id="2" name="Imagen 1">
          <a:extLst>
            <a:ext uri="{FF2B5EF4-FFF2-40B4-BE49-F238E27FC236}">
              <a16:creationId xmlns:a16="http://schemas.microsoft.com/office/drawing/2014/main" id="{291D3EC6-E235-40D0-A47D-6C0539AB2FD5}"/>
            </a:ext>
          </a:extLst>
        </xdr:cNvPr>
        <xdr:cNvPicPr>
          <a:picLocks noChangeAspect="1"/>
        </xdr:cNvPicPr>
      </xdr:nvPicPr>
      <xdr:blipFill>
        <a:blip xmlns:r="http://schemas.openxmlformats.org/officeDocument/2006/relationships" r:embed="rId1"/>
        <a:stretch>
          <a:fillRect/>
        </a:stretch>
      </xdr:blipFill>
      <xdr:spPr>
        <a:xfrm>
          <a:off x="104775" y="66675"/>
          <a:ext cx="2914649"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733424</xdr:colOff>
      <xdr:row>2</xdr:row>
      <xdr:rowOff>123825</xdr:rowOff>
    </xdr:to>
    <xdr:pic>
      <xdr:nvPicPr>
        <xdr:cNvPr id="2" name="Imagen 1">
          <a:extLst>
            <a:ext uri="{FF2B5EF4-FFF2-40B4-BE49-F238E27FC236}">
              <a16:creationId xmlns:a16="http://schemas.microsoft.com/office/drawing/2014/main" id="{C9EA66D0-04D7-4588-849D-8E6C7F0BB986}"/>
            </a:ext>
          </a:extLst>
        </xdr:cNvPr>
        <xdr:cNvPicPr>
          <a:picLocks noChangeAspect="1"/>
        </xdr:cNvPicPr>
      </xdr:nvPicPr>
      <xdr:blipFill>
        <a:blip xmlns:r="http://schemas.openxmlformats.org/officeDocument/2006/relationships" r:embed="rId1"/>
        <a:stretch>
          <a:fillRect/>
        </a:stretch>
      </xdr:blipFill>
      <xdr:spPr>
        <a:xfrm>
          <a:off x="104775" y="66675"/>
          <a:ext cx="2914649"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219076</xdr:colOff>
      <xdr:row>0</xdr:row>
      <xdr:rowOff>28575</xdr:rowOff>
    </xdr:from>
    <xdr:ext cx="2667000" cy="561975"/>
    <xdr:pic>
      <xdr:nvPicPr>
        <xdr:cNvPr id="2" name="image1.png">
          <a:extLst>
            <a:ext uri="{FF2B5EF4-FFF2-40B4-BE49-F238E27FC236}">
              <a16:creationId xmlns:a16="http://schemas.microsoft.com/office/drawing/2014/main" id="{6E4271A8-A825-4A43-A3C0-2D22860772BC}"/>
            </a:ext>
          </a:extLst>
        </xdr:cNvPr>
        <xdr:cNvPicPr preferRelativeResize="0"/>
      </xdr:nvPicPr>
      <xdr:blipFill>
        <a:blip xmlns:r="http://schemas.openxmlformats.org/officeDocument/2006/relationships" r:embed="rId1" cstate="print"/>
        <a:stretch>
          <a:fillRect/>
        </a:stretch>
      </xdr:blipFill>
      <xdr:spPr>
        <a:xfrm>
          <a:off x="219076" y="28575"/>
          <a:ext cx="2667000" cy="5619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1</xdr:col>
      <xdr:colOff>100541</xdr:colOff>
      <xdr:row>0</xdr:row>
      <xdr:rowOff>52917</xdr:rowOff>
    </xdr:from>
    <xdr:to>
      <xdr:col>4</xdr:col>
      <xdr:colOff>120650</xdr:colOff>
      <xdr:row>4</xdr:row>
      <xdr:rowOff>186513</xdr:rowOff>
    </xdr:to>
    <xdr:pic>
      <xdr:nvPicPr>
        <xdr:cNvPr id="2" name="Imagen 1">
          <a:extLst>
            <a:ext uri="{FF2B5EF4-FFF2-40B4-BE49-F238E27FC236}">
              <a16:creationId xmlns:a16="http://schemas.microsoft.com/office/drawing/2014/main" id="{57C2F3AE-C2F7-4223-805B-4C993E522EAF}"/>
            </a:ext>
          </a:extLst>
        </xdr:cNvPr>
        <xdr:cNvPicPr>
          <a:picLocks noChangeAspect="1"/>
        </xdr:cNvPicPr>
      </xdr:nvPicPr>
      <xdr:blipFill>
        <a:blip xmlns:r="http://schemas.openxmlformats.org/officeDocument/2006/relationships" r:embed="rId1"/>
        <a:stretch>
          <a:fillRect/>
        </a:stretch>
      </xdr:blipFill>
      <xdr:spPr>
        <a:xfrm>
          <a:off x="367241" y="52917"/>
          <a:ext cx="2734734" cy="8955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71965</xdr:colOff>
      <xdr:row>0</xdr:row>
      <xdr:rowOff>1</xdr:rowOff>
    </xdr:from>
    <xdr:to>
      <xdr:col>3</xdr:col>
      <xdr:colOff>714374</xdr:colOff>
      <xdr:row>2</xdr:row>
      <xdr:rowOff>190501</xdr:rowOff>
    </xdr:to>
    <xdr:pic>
      <xdr:nvPicPr>
        <xdr:cNvPr id="2" name="Imagen 1">
          <a:extLst>
            <a:ext uri="{FF2B5EF4-FFF2-40B4-BE49-F238E27FC236}">
              <a16:creationId xmlns:a16="http://schemas.microsoft.com/office/drawing/2014/main" id="{485278F6-1B6D-47A1-9C1D-0550AB2457D2}"/>
            </a:ext>
          </a:extLst>
        </xdr:cNvPr>
        <xdr:cNvPicPr>
          <a:picLocks noChangeAspect="1"/>
        </xdr:cNvPicPr>
      </xdr:nvPicPr>
      <xdr:blipFill>
        <a:blip xmlns:r="http://schemas.openxmlformats.org/officeDocument/2006/relationships" r:embed="rId1"/>
        <a:stretch>
          <a:fillRect/>
        </a:stretch>
      </xdr:blipFill>
      <xdr:spPr>
        <a:xfrm>
          <a:off x="71965" y="1"/>
          <a:ext cx="2928409" cy="60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138641</xdr:colOff>
      <xdr:row>0</xdr:row>
      <xdr:rowOff>76200</xdr:rowOff>
    </xdr:from>
    <xdr:to>
      <xdr:col>3</xdr:col>
      <xdr:colOff>695325</xdr:colOff>
      <xdr:row>2</xdr:row>
      <xdr:rowOff>180975</xdr:rowOff>
    </xdr:to>
    <xdr:pic>
      <xdr:nvPicPr>
        <xdr:cNvPr id="2" name="Imagen 1">
          <a:extLst>
            <a:ext uri="{FF2B5EF4-FFF2-40B4-BE49-F238E27FC236}">
              <a16:creationId xmlns:a16="http://schemas.microsoft.com/office/drawing/2014/main" id="{124BD0C5-3BCB-4426-BBC0-153882C83AE1}"/>
            </a:ext>
          </a:extLst>
        </xdr:cNvPr>
        <xdr:cNvPicPr>
          <a:picLocks noChangeAspect="1"/>
        </xdr:cNvPicPr>
      </xdr:nvPicPr>
      <xdr:blipFill>
        <a:blip xmlns:r="http://schemas.openxmlformats.org/officeDocument/2006/relationships" r:embed="rId1"/>
        <a:stretch>
          <a:fillRect/>
        </a:stretch>
      </xdr:blipFill>
      <xdr:spPr>
        <a:xfrm>
          <a:off x="138641" y="76200"/>
          <a:ext cx="2842684"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USUARIO/AppData/Local/Temp/b3d5bded-76ee-46d2-9c14-1c5527b003ee_DE%20GESTI&#211;N,%20FINANCIEROS%20Y%20FISCALES.zip.3ee/DE%20GESTI&#211;N,%20FINANCIEROS%20Y%20FISCALES/SEC.%20GENERAL/Mapa%20de%20Riesgos%20Financiero%20Gesti&#243;n%20de%20bienes%20y%20servicios%202.xlsx?39E6B1CB" TargetMode="External"/><Relationship Id="rId1" Type="http://schemas.openxmlformats.org/officeDocument/2006/relationships/externalLinkPath" Target="file:///\\39E6B1CB\Mapa%20de%20Riesgos%20Financiero%20Gesti&#243;n%20de%20bienes%20y%20servicios%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AppData/Local/Temp/81362415-2a6d-493d-ade0-ab0a43329347_DE%20GESTI&#211;N,%20FINANCIEROS%20Y%20FISCALES.zip.347/DE%20GESTI&#211;N,%20FINANCIEROS%20Y%20FISCALES/Banco%20del%20progreso%20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US/Documents/ALCALD&#205;A/2024/PAAC/MAPAS%20DE%20RIESGOS%20A%20ENERO/LLEGARON%20A%20DESTIEMPO/Banco%20del%20progr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AppData/Local/Temp/a74067a2-3468-4df8-98b4-911b569863f0_DE%20GESTI&#211;N,%20FINANCIEROS%20Y%20FISCALES.zip.3f0/DE%20GESTI&#211;N,%20FINANCIEROS%20Y%20FISCALES/Contadur&#237;a.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ASUS\Documents\ALCALD&#205;A\2024\RIESGOS\RECIBIDOS%20EN%20MAYO\Control%20Interno%20de%20Gesti&#243;n.xlsx" TargetMode="External"/><Relationship Id="rId1" Type="http://schemas.openxmlformats.org/officeDocument/2006/relationships/externalLinkPath" Target="RECIBIDOS%20EN%20MAYO/Control%20Interno%20de%20Gesti&#243;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AppData/Local/Temp/d4cde3ea-3446-4785-b046-559e7b1f7682_DE%20GESTI&#211;N,%20FINANCIEROS%20Y%20FISCALES.zip.682/DE%20GESTI&#211;N,%20FINANCIEROS%20Y%20FISCALES/Control%20Interno%20Disciplinari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AppData/Local/Temp/3d82f608-41c2-4712-b4ae-696411120d35_DE%20GESTI&#211;N,%20FINANCIEROS%20Y%20FISCALES.zip.d35/DE%20GESTI&#211;N,%20FINANCIEROS%20Y%20FISCALES/Infraestructura.xlsx"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https://d.docs.live.net/6aa9f0d386496b45/ONE%20DRIVE%202020-2022/Documentos/CONTRATO_0000052_ALCALDIA_CUCUTA/CUENTA_01_DE_10/EVIDENCIAS_CUENTA_01_DE_10/9.DEMAS_ACTIVIDADES/20240124_MATRIZ_MAPA_RIESGOS_2024/M.%20RIESGO%20SECRETARIA%20DE%20INFRAESTRUCTURA-CD.xlsx?45F860AD" TargetMode="External"/><Relationship Id="rId1" Type="http://schemas.openxmlformats.org/officeDocument/2006/relationships/externalLinkPath" Target="file:///\\45F860AD\M.%20RIESGO%20SECRETARIA%20DE%20INFRAESTRUCTURA-C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AppData/Local/Temp/4e7be49d-43ab-4aea-92dd-f0624bf5a00b_DE%20GESTI&#211;N,%20FINANCIEROS%20Y%20FISCALES.zip.00b/DE%20GESTI&#211;N,%20FINANCIEROS%20Y%20FISCALES/Financieros,%20fiscales,%20gesti&#243;n%20Valorizaci&#243;n%20y%20Plusval&#237;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UARIO/AppData/Local/Temp/71032f5b-f93a-4feb-a5ed-edf54b2b4130_DE%20GESTI&#211;N,%20FINANCIEROS%20Y%20FISCALES.zip.130/DE%20GESTI&#211;N,%20FINANCIEROS%20Y%20FISCALES/Mapa%20de%20Riesgo-2024%20-%20SECRETARIA%20DE%20VALORIZACION%20Y%20PLUSVALI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ARIO/AppData/Local/Temp/62c9b1d5-aa41-4a17-862f-e4c9dbb59578_DE%20GESTI&#211;N,%20FINANCIEROS%20Y%20FISCALES.zip.578/DE%20GESTI&#211;N,%20FINANCIEROS%20Y%20FISCALES/Plane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Mapa%20de%20Riesgos%20Subproceso%20Contrat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14.%20Dap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UARIO/AppData/Local/Temp/040c8a2b-eaea-4045-8052-85855efaaff4_DE%20GESTI&#211;N,%20FINANCIEROS%20Y%20FISCALES.zip.ff4/DE%20GESTI&#211;N,%20FINANCIEROS%20Y%20FISCALES/Riegos%20y%20desast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US/Downloads/Mapa%20de%20Riesgos%20Subproceso%20Gesti&#243;n%20de%20PQRS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PALDO/ING%20ANGELICA/PLANEACION%20ALCALDIA/MAPA%20DE%20RIESGOS/vigencia%202024/Mapa%20de%20Riesgos%20Institucional%20nuevo%20formatovigencia%202024%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USUARIO/Desktop/mapas%20riesgos%20Cucuta/consolidado%20MR%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UARIO/Desktop/mapas%20riesgos%20Cucuta/Formato%20Mapa%20de%20Riesgos%20Sisb&#233;n%20202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SUARIO/Desktop/mapas%20riesgos%20Cucuta/Riesgos%20de%20gesti&#243;n%20Posconflict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US/Downloads/Mapa%20de%20Riesgos%20Institucional%20Proceso%20Pagadur&#237;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SUARIO/Desktop/mapas%20riesgos%20Cucuta/Mapa%20de%20Riesgos%20Institucional%20Cultura22222.xlsx" TargetMode="External"/></Relationships>
</file>

<file path=xl/externalLinks/_rels/externalLink29.xml.rels><?xml version="1.0" encoding="UTF-8" standalone="yes"?>
<Relationships xmlns="http://schemas.openxmlformats.org/package/2006/relationships"><Relationship Id="rId2" Type="http://schemas.openxmlformats.org/officeDocument/2006/relationships/externalLinkPath" Target="file:///C:\Users\ASUS\Documents\ALCALD&#205;A\2024\RIESGOS\RECIBIDOS%20EN%20MAYO\MAPA%20DE%20RIESGO%20DE%20GESTI&#211;N%20SECRETARIA%20DE%20EQUIDAD%20GENERO%202024.xlsx" TargetMode="External"/><Relationship Id="rId1" Type="http://schemas.openxmlformats.org/officeDocument/2006/relationships/externalLinkPath" Target="RECIBIDOS%20EN%20MAYO/MAPA%20DE%20RIESGO%20DE%20GESTI&#211;N%20SECRETARIA%20DE%20EQUIDAD%20GENERO%202024.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USUARIO/AppData/Local/Temp/53ccd688-9413-4683-8f3b-c1fe77ac9786_DE%20GESTI&#211;N,%20FINANCIEROS%20Y%20FISCALES.zip.786/DE%20GESTI&#211;N,%20FINANCIEROS%20Y%20FISCALES/SEC.%20GENERAL/Mapa%20de%20Riesgos%20Financiero%20Relacionamiento%20con%20el%20Ciudadano.xlsx?6E11A306" TargetMode="External"/><Relationship Id="rId1" Type="http://schemas.openxmlformats.org/officeDocument/2006/relationships/externalLinkPath" Target="file:///\\6E11A306\Mapa%20de%20Riesgos%20Financiero%20Relacionamiento%20con%20el%20Ciudadano.xlsx" TargetMode="External"/></Relationships>
</file>

<file path=xl/externalLinks/_rels/externalLink30.xml.rels><?xml version="1.0" encoding="UTF-8" standalone="yes"?>
<Relationships xmlns="http://schemas.openxmlformats.org/package/2006/relationships"><Relationship Id="rId2" Type="http://schemas.openxmlformats.org/officeDocument/2006/relationships/externalLinkPath" Target="file:///C:\Users\ASUS\Downloads\Mapa%20de%20Riesgos%20Gestion-SDS-2024.xlsx" TargetMode="External"/><Relationship Id="rId1" Type="http://schemas.openxmlformats.org/officeDocument/2006/relationships/externalLinkPath" Target="/Users/ASUS/Downloads/Mapa%20de%20Riesgos%20Gestion-SDS-2024.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USUARIO/AppData/Local/Temp/174f1a65-cd52-465a-8287-f61089df0fbf_DE%20GESTI&#211;N,%20FINANCIEROS%20Y%20FISCALES.zip.fbf/DE%20GESTI&#211;N,%20FINANCIEROS%20Y%20FISCALES/SEC.%20GENERAL/Mapa%20de%20Riesgos%20Gesti&#243;n%20de%20bienes%20y%20servicios-Apoyo%20log&#237;stico.xlsx?94AB4A5C" TargetMode="External"/><Relationship Id="rId1" Type="http://schemas.openxmlformats.org/officeDocument/2006/relationships/externalLinkPath" Target="file:///\\94AB4A5C\Mapa%20de%20Riesgos%20Gesti&#243;n%20de%20bienes%20y%20servicios-Apoyo%20log&#237;sti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AppData/Local/Temp/f4ffc069-7682-4236-8884-a74c13d93822_DE%20GESTI&#211;N,%20FINANCIEROS%20Y%20FISCALES.zip.822/DE%20GESTI&#211;N,%20FINANCIEROS%20Y%20FISCALES/SEC.%20GENERAL/Mapa%20de%20Riesgos%20Gesti&#243;n%20Documental.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USUARIO/AppData/Local/Temp/ca17430a-fbda-4bd8-bbd9-1075a2ed1430_DE%20GESTI&#211;N,%20FINANCIEROS%20Y%20FISCALES.zip.430/DE%20GESTI&#211;N,%20FINANCIEROS%20Y%20FISCALES/SEC.%20GENERAL/Mapa%20de%20Riesgos%20Gesti&#243;n%20y%20Desarrollo%20del%20Talento%20Humano%20-%20Pensiones.xlsx?DFC7431C" TargetMode="External"/><Relationship Id="rId1" Type="http://schemas.openxmlformats.org/officeDocument/2006/relationships/externalLinkPath" Target="file:///\\DFC7431C\Mapa%20de%20Riesgos%20Gesti&#243;n%20y%20Desarrollo%20del%20Talento%20Humano%20-%20Pens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US/Downloads/Mapa%20de%20Riesgos%20Subproceso%20Obligaciones%20Pensionales.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USUARIO/AppData/Local/Temp/aa22b10b-7a89-4253-9067-3b9fa7eccdcb_DE%20GESTI&#211;N,%20FINANCIEROS%20Y%20FISCALES.zip.dcb/DE%20GESTI&#211;N,%20FINANCIEROS%20Y%20FISCALES/SEC.%20GENERAL/Mapa%20de%20Riesgos%20Gesti&#243;n%20y%20Desarrollo%20del%20Talento%20Humano%202.xlsx?9FAAB23E" TargetMode="External"/><Relationship Id="rId1" Type="http://schemas.openxmlformats.org/officeDocument/2006/relationships/externalLinkPath" Target="file:///\\9FAAB23E\Mapa%20de%20Riesgos%20Gesti&#243;n%20y%20Desarrollo%20del%20Talento%20Humano%202.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USUARIO/AppData/Local/Temp/9fc06e3b-b35e-4737-aa0d-13e97651e56c_DE%20GESTI&#211;N,%20FINANCIEROS%20Y%20FISCALES.zip.56c/DE%20GESTI&#211;N,%20FINANCIEROS%20Y%20FISCALES/SEC.%20GENERAL/Mapa%20de%20Riesgos%20Gesti&#243;n%20y%20Desarrollo%20del%20Talento%20Humano%20SST.xlsx?FC4386A8" TargetMode="External"/><Relationship Id="rId1" Type="http://schemas.openxmlformats.org/officeDocument/2006/relationships/externalLinkPath" Target="file:///\\FC4386A8\Mapa%20de%20Riesgos%20Gesti&#243;n%20y%20Desarrollo%20del%20Talento%20Humano%20S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mínimo 500 veces al año y máximo 5000 veces por año</v>
          </cell>
        </row>
        <row r="13">
          <cell r="G13" t="str">
            <v>La actividad que conlleva el riesgo se ejecuta de 3 a 24 veces por año</v>
          </cell>
        </row>
        <row r="15">
          <cell r="G15"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0">
          <cell r="G10" t="str">
            <v>La actividad que conlleva el riesgo se ejecuta de 24 a 500 veces por año</v>
          </cell>
        </row>
        <row r="11">
          <cell r="G11" t="str">
            <v>La actividad que conlleva el riesgo se ejecuta de 3 a 24 veces por año</v>
          </cell>
        </row>
        <row r="12">
          <cell r="G12" t="str">
            <v>La actividad que conlleva el riesgo se ejecuta de 24 a 500 veces por año</v>
          </cell>
        </row>
        <row r="13">
          <cell r="G13" t="str">
            <v>La actividad que conlleva el riesgo se ejecuta de 3 a 24 veces por año</v>
          </cell>
        </row>
        <row r="14">
          <cell r="G14"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Hoja2"/>
      <sheetName val="Opciones Tratamiento"/>
      <sheetName val="Hoja1"/>
    </sheetNames>
    <sheetDataSet>
      <sheetData sheetId="0"/>
      <sheetData sheetId="1">
        <row r="9">
          <cell r="G9" t="str">
            <v>La actividad que conlleva el riesgo se ejecuta mínimo 500 veces al año y máximo 5000 veces por año</v>
          </cell>
        </row>
        <row r="11">
          <cell r="G11"/>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row r="14">
          <cell r="G14" t="str">
            <v>La actividad que conlleva el riesgo se ejecuta mínimo 500 veces al año y máximo 5000 veces por año</v>
          </cell>
        </row>
        <row r="16">
          <cell r="G16"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37">
          <cell r="B37" t="str">
            <v>Criterios</v>
          </cell>
          <cell r="F37" t="str">
            <v xml:space="preserve">     Genera medianas consecuencias sobre la entidad</v>
          </cell>
        </row>
        <row r="38">
          <cell r="B38" t="str">
            <v>Afectación Económica o presupuestal</v>
          </cell>
        </row>
        <row r="39">
          <cell r="B39" t="str">
            <v>Pérdida Reputacional</v>
          </cell>
        </row>
      </sheetData>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0">
          <cell r="G10" t="str">
            <v>La actividad que conlleva el riesgo se ejecuta de 3 a 24 veces por año</v>
          </cell>
        </row>
        <row r="12">
          <cell r="G12"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como máximos 2 veces por año</v>
          </cell>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24 a 500 veces por año</v>
          </cell>
        </row>
        <row r="15">
          <cell r="G15"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row r="9">
          <cell r="G9" t="str">
            <v>La actividad que conlleva el riesgo se ejecuta de 3 a 24 veces por año</v>
          </cell>
        </row>
        <row r="13">
          <cell r="G13" t="str">
            <v>La actividad que conlleva el riesgo se ejecuta de 24 a 500 veces por año</v>
          </cell>
        </row>
      </sheetData>
      <sheetData sheetId="2" refreshError="1"/>
      <sheetData sheetId="3" refreshError="1"/>
      <sheetData sheetId="4" refreshError="1">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efreshError="1">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mínimo 500 veces al año y máximo 5000 veces por año</v>
          </cell>
        </row>
        <row r="11">
          <cell r="G11" t="str">
            <v>La actividad que conlleva el riesgo se ejecuta de 24 a 500 veces por año</v>
          </cell>
        </row>
        <row r="13">
          <cell r="G13" t="str">
            <v>La actividad que conlleva el riesgo se ejecuta de 24 a 500 veces por año</v>
          </cell>
        </row>
        <row r="14">
          <cell r="G14" t="str">
            <v>La actividad que conlleva el riesgo se ejecuta mínimo 500 veces al año y máximo 5000 veces por año</v>
          </cell>
        </row>
        <row r="15">
          <cell r="G15" t="str">
            <v>La actividad que conlleva el riesgo se ejecuta de 24 a 500 veces por año</v>
          </cell>
        </row>
        <row r="16">
          <cell r="G16"/>
        </row>
        <row r="18">
          <cell r="G18"/>
        </row>
        <row r="20">
          <cell r="G20"/>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row r="13">
          <cell r="G13"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más de 5000 veces por año</v>
          </cell>
        </row>
        <row r="13">
          <cell r="G13" t="str">
            <v>La actividad que conlleva el riesgo se ejecuta más de 5000 veces por año</v>
          </cell>
        </row>
        <row r="15">
          <cell r="G15" t="str">
            <v>La actividad que conlleva el riesgo se ejecuta de 24 a 500 veces por año</v>
          </cell>
        </row>
        <row r="17">
          <cell r="G17"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mínimo 500 veces al año y máximo 5000 veces por año</v>
          </cell>
        </row>
        <row r="15">
          <cell r="G15"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03D20-21CD-4B4A-8EA1-2D1850CBB3DE}">
  <sheetPr>
    <tabColor rgb="FF0070C0"/>
  </sheetPr>
  <dimension ref="A3:AK194"/>
  <sheetViews>
    <sheetView tabSelected="1" topLeftCell="A2" zoomScale="70" zoomScaleNormal="70" workbookViewId="0">
      <selection activeCell="F76" sqref="F76:F77"/>
    </sheetView>
  </sheetViews>
  <sheetFormatPr baseColWidth="10" defaultRowHeight="15"/>
  <sheetData>
    <row r="3" spans="1:37" ht="15.75" thickBot="1"/>
    <row r="4" spans="1:37" ht="21.75" thickBot="1">
      <c r="A4" s="343" t="s">
        <v>383</v>
      </c>
      <c r="B4" s="344"/>
      <c r="C4" s="345"/>
    </row>
    <row r="8" spans="1:37" ht="16.5">
      <c r="A8" s="231"/>
      <c r="B8" s="231"/>
      <c r="C8" s="231"/>
      <c r="D8" s="231"/>
      <c r="E8" s="227" t="s">
        <v>0</v>
      </c>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53" t="s">
        <v>1</v>
      </c>
      <c r="AI8" s="253"/>
      <c r="AJ8" s="253"/>
      <c r="AK8" s="253"/>
    </row>
    <row r="9" spans="1:37" ht="16.5">
      <c r="A9" s="231"/>
      <c r="B9" s="231"/>
      <c r="C9" s="231"/>
      <c r="D9" s="231"/>
      <c r="E9" s="227" t="s">
        <v>2</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53" t="s">
        <v>3</v>
      </c>
      <c r="AI9" s="253"/>
      <c r="AJ9" s="253"/>
      <c r="AK9" s="253"/>
    </row>
    <row r="10" spans="1:37" ht="16.5">
      <c r="A10" s="231"/>
      <c r="B10" s="231"/>
      <c r="C10" s="231"/>
      <c r="D10" s="231"/>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53" t="s">
        <v>4</v>
      </c>
      <c r="AI10" s="253"/>
      <c r="AJ10" s="253"/>
      <c r="AK10" s="253"/>
    </row>
    <row r="11" spans="1:37" ht="16.5">
      <c r="A11" s="3"/>
      <c r="B11" s="4"/>
      <c r="C11" s="3"/>
      <c r="D11" s="3"/>
      <c r="E11" s="5"/>
      <c r="F11" s="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42.75" customHeight="1">
      <c r="A12" s="254" t="s">
        <v>5</v>
      </c>
      <c r="B12" s="254"/>
      <c r="C12" s="255" t="s">
        <v>6</v>
      </c>
      <c r="D12" s="255"/>
      <c r="E12" s="255"/>
      <c r="F12" s="255"/>
      <c r="G12" s="255"/>
      <c r="H12" s="256" t="s">
        <v>7</v>
      </c>
      <c r="I12" s="256"/>
      <c r="J12" s="255" t="s">
        <v>8</v>
      </c>
      <c r="K12" s="255"/>
      <c r="L12" s="255"/>
      <c r="M12" s="255"/>
      <c r="N12" s="255"/>
      <c r="O12" s="256" t="s">
        <v>9</v>
      </c>
      <c r="P12" s="256"/>
      <c r="Q12" s="327" t="s">
        <v>10</v>
      </c>
      <c r="R12" s="328"/>
      <c r="S12" s="328"/>
      <c r="T12" s="328"/>
      <c r="U12" s="328"/>
      <c r="V12" s="328"/>
      <c r="W12" s="328"/>
      <c r="X12" s="328"/>
      <c r="Y12" s="328"/>
      <c r="Z12" s="328"/>
      <c r="AA12" s="328"/>
      <c r="AB12" s="328"/>
      <c r="AC12" s="328"/>
      <c r="AD12" s="328"/>
      <c r="AE12" s="329"/>
      <c r="AF12" s="152" t="s">
        <v>11</v>
      </c>
      <c r="AG12" s="322" t="s">
        <v>12</v>
      </c>
      <c r="AH12" s="322"/>
      <c r="AI12" s="322"/>
      <c r="AJ12" s="322"/>
      <c r="AK12" s="322"/>
    </row>
    <row r="13" spans="1:37">
      <c r="A13" s="245" t="s">
        <v>13</v>
      </c>
      <c r="B13" s="245"/>
      <c r="C13" s="245"/>
      <c r="D13" s="245"/>
      <c r="E13" s="245"/>
      <c r="F13" s="245"/>
      <c r="G13" s="245"/>
      <c r="H13" s="248" t="s">
        <v>14</v>
      </c>
      <c r="I13" s="248"/>
      <c r="J13" s="248"/>
      <c r="K13" s="248"/>
      <c r="L13" s="248"/>
      <c r="M13" s="248"/>
      <c r="N13" s="248"/>
      <c r="O13" s="261" t="s">
        <v>15</v>
      </c>
      <c r="P13" s="261"/>
      <c r="Q13" s="261"/>
      <c r="R13" s="261"/>
      <c r="S13" s="261"/>
      <c r="T13" s="261"/>
      <c r="U13" s="261"/>
      <c r="V13" s="261"/>
      <c r="W13" s="261"/>
      <c r="X13" s="261"/>
      <c r="Y13" s="262" t="s">
        <v>16</v>
      </c>
      <c r="Z13" s="262"/>
      <c r="AA13" s="262"/>
      <c r="AB13" s="262"/>
      <c r="AC13" s="262"/>
      <c r="AD13" s="262"/>
      <c r="AE13" s="262"/>
      <c r="AF13" s="243" t="s">
        <v>17</v>
      </c>
      <c r="AG13" s="243"/>
      <c r="AH13" s="243"/>
      <c r="AI13" s="243"/>
      <c r="AJ13" s="243"/>
      <c r="AK13" s="243"/>
    </row>
    <row r="14" spans="1:37">
      <c r="A14" s="244" t="s">
        <v>18</v>
      </c>
      <c r="B14" s="245" t="s">
        <v>19</v>
      </c>
      <c r="C14" s="246" t="s">
        <v>20</v>
      </c>
      <c r="D14" s="246" t="s">
        <v>21</v>
      </c>
      <c r="E14" s="245" t="s">
        <v>22</v>
      </c>
      <c r="F14" s="246" t="s">
        <v>23</v>
      </c>
      <c r="G14" s="246" t="s">
        <v>24</v>
      </c>
      <c r="H14" s="247" t="s">
        <v>25</v>
      </c>
      <c r="I14" s="248" t="s">
        <v>26</v>
      </c>
      <c r="J14" s="247" t="s">
        <v>27</v>
      </c>
      <c r="K14" s="247" t="s">
        <v>28</v>
      </c>
      <c r="L14" s="247" t="s">
        <v>29</v>
      </c>
      <c r="M14" s="248" t="s">
        <v>26</v>
      </c>
      <c r="N14" s="247" t="s">
        <v>30</v>
      </c>
      <c r="O14" s="249" t="s">
        <v>31</v>
      </c>
      <c r="P14" s="237" t="s">
        <v>32</v>
      </c>
      <c r="Q14" s="251" t="s">
        <v>33</v>
      </c>
      <c r="R14" s="237" t="s">
        <v>34</v>
      </c>
      <c r="S14" s="237" t="s">
        <v>35</v>
      </c>
      <c r="T14" s="237"/>
      <c r="U14" s="237"/>
      <c r="V14" s="237"/>
      <c r="W14" s="237"/>
      <c r="X14" s="237"/>
      <c r="Y14" s="236" t="s">
        <v>36</v>
      </c>
      <c r="Z14" s="236" t="s">
        <v>37</v>
      </c>
      <c r="AA14" s="236" t="s">
        <v>26</v>
      </c>
      <c r="AB14" s="236" t="s">
        <v>38</v>
      </c>
      <c r="AC14" s="236" t="s">
        <v>26</v>
      </c>
      <c r="AD14" s="236" t="s">
        <v>39</v>
      </c>
      <c r="AE14" s="236" t="s">
        <v>40</v>
      </c>
      <c r="AF14" s="250" t="s">
        <v>17</v>
      </c>
      <c r="AG14" s="250" t="s">
        <v>41</v>
      </c>
      <c r="AH14" s="250" t="s">
        <v>42</v>
      </c>
      <c r="AI14" s="250" t="s">
        <v>43</v>
      </c>
      <c r="AJ14" s="250" t="s">
        <v>44</v>
      </c>
      <c r="AK14" s="250" t="s">
        <v>45</v>
      </c>
    </row>
    <row r="15" spans="1:37" ht="81.75">
      <c r="A15" s="244"/>
      <c r="B15" s="245"/>
      <c r="C15" s="246"/>
      <c r="D15" s="246"/>
      <c r="E15" s="245"/>
      <c r="F15" s="246"/>
      <c r="G15" s="246"/>
      <c r="H15" s="247"/>
      <c r="I15" s="248"/>
      <c r="J15" s="247"/>
      <c r="K15" s="247"/>
      <c r="L15" s="248"/>
      <c r="M15" s="248"/>
      <c r="N15" s="247"/>
      <c r="O15" s="249"/>
      <c r="P15" s="237"/>
      <c r="Q15" s="252"/>
      <c r="R15" s="237"/>
      <c r="S15" s="7" t="s">
        <v>46</v>
      </c>
      <c r="T15" s="7" t="s">
        <v>47</v>
      </c>
      <c r="U15" s="7" t="s">
        <v>48</v>
      </c>
      <c r="V15" s="7" t="s">
        <v>49</v>
      </c>
      <c r="W15" s="7" t="s">
        <v>50</v>
      </c>
      <c r="X15" s="7" t="s">
        <v>51</v>
      </c>
      <c r="Y15" s="236"/>
      <c r="Z15" s="236"/>
      <c r="AA15" s="236"/>
      <c r="AB15" s="236"/>
      <c r="AC15" s="236"/>
      <c r="AD15" s="236"/>
      <c r="AE15" s="236"/>
      <c r="AF15" s="250"/>
      <c r="AG15" s="250"/>
      <c r="AH15" s="250"/>
      <c r="AI15" s="250"/>
      <c r="AJ15" s="250"/>
      <c r="AK15" s="250"/>
    </row>
    <row r="16" spans="1:37" ht="409.5">
      <c r="A16" s="331">
        <v>1</v>
      </c>
      <c r="B16" s="273" t="s">
        <v>52</v>
      </c>
      <c r="C16" s="333" t="s">
        <v>53</v>
      </c>
      <c r="D16" s="333" t="s">
        <v>54</v>
      </c>
      <c r="E16" s="334" t="s">
        <v>55</v>
      </c>
      <c r="F16" s="273" t="s">
        <v>56</v>
      </c>
      <c r="G16" s="273" t="s">
        <v>57</v>
      </c>
      <c r="H16" s="275" t="str">
        <f>IF(G16="","",IF('[1]Mapa final'!G9='[1]Tabla probabilidad'!$C$4,"MUY BAJA",IF('[1]Mapa final'!G9='[1]Tabla probabilidad'!$C$5,"BAJA",IF('[1]Mapa final'!G9='[1]Tabla probabilidad'!$C$6,"MEDIA",IF('[1]Mapa final'!G9='[1]Tabla probabilidad'!$C$7,"ALTA",IF('[1]Mapa final'!G9='[1]Tabla probabilidad'!$C$8,"MUY ALTA"))))))</f>
        <v>MEDIA</v>
      </c>
      <c r="I16" s="277">
        <f t="shared" ref="I16" si="0">IF(H16="","",IF(H16="Muy Baja",0.2,IF(H16="Baja",0.4,IF(H16="Media",0.6,IF(H16="Alta",0.8,IF(H16="Muy Alta",1,))))))</f>
        <v>0.6</v>
      </c>
      <c r="J16" s="279" t="s">
        <v>58</v>
      </c>
      <c r="K16" s="336" t="str">
        <f>IF(NOT(ISERROR(MATCH(J16,'[2]Tabla Impacto'!$B$221:$B$223,0))),'[2]Tabla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338" t="str">
        <f>IF(OR(K16='[2]Tabla Impacto'!$C$11,K16='[2]Tabla Impacto'!$D$11),"Leve",IF(OR(K16='[2]Tabla Impacto'!$C$12,K16='[2]Tabla Impacto'!$D$12),"Menor",IF(OR(K16='[2]Tabla Impacto'!$C$13,K16='[2]Tabla Impacto'!$D$13),"Moderado",IF(OR(K16='[2]Tabla Impacto'!$C$14,K16='[2]Tabla Impacto'!$D$14),"Mayor",IF(OR(K16='[2]Tabla Impacto'!$C$15,K16='[2]Tabla Impacto'!$D$15),"Catastrófico","")))))</f>
        <v>Mayor</v>
      </c>
      <c r="M16" s="336">
        <f>IF(L16="","",IF(L16="Leve",0.2,IF(L16="Menor",0.4,IF(L16="Moderado",0.6,IF(L16="Mayor",0.8,IF(L16="Catastrófico",1,))))))</f>
        <v>0.8</v>
      </c>
      <c r="N16" s="340"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8">
        <v>1</v>
      </c>
      <c r="P16" s="9" t="s">
        <v>59</v>
      </c>
      <c r="Q16" s="10" t="s">
        <v>60</v>
      </c>
      <c r="R16" s="11" t="str">
        <f t="shared" ref="R16:R25" si="1">IF(OR(S16="Preventivo",S16="Detectivo"),"Probabilidad",IF(S16="Correctivo","Impacto",""))</f>
        <v>Probabilidad</v>
      </c>
      <c r="S16" s="12" t="s">
        <v>61</v>
      </c>
      <c r="T16" s="12" t="s">
        <v>62</v>
      </c>
      <c r="U16" s="13" t="str">
        <f>IF(AND(S16="Preventivo",T16="Automático"),"50%",IF(AND(S16="Preventivo",T16="Manual"),"40%",IF(AND(S16="Detectivo",T16="Automático"),"40%",IF(AND(S16="Detectivo",T16="Manual"),"30%",IF(AND(S16="Correctivo",T16="Automático"),"35%",IF(AND(S16="Correctivo",T16="Manual"),"25%",""))))))</f>
        <v>40%</v>
      </c>
      <c r="V16" s="12" t="s">
        <v>63</v>
      </c>
      <c r="W16" s="12" t="s">
        <v>64</v>
      </c>
      <c r="X16" s="12" t="s">
        <v>65</v>
      </c>
      <c r="Y16" s="14">
        <f>IFERROR(IF(R16="Probabilidad",(I16-(+I16*U16)),IF(R16="Impacto",I16,"")),"")</f>
        <v>0.36</v>
      </c>
      <c r="Z16" s="15" t="str">
        <f>IFERROR(IF(Y16="","",IF(Y16&lt;=0.2,"Muy Baja",IF(Y16&lt;=0.4,"Baja",IF(Y16&lt;=0.6,"Media",IF(Y16&lt;=0.8,"Alta","Muy Alta"))))),"")</f>
        <v>Baja</v>
      </c>
      <c r="AA16" s="13">
        <f>+Y16</f>
        <v>0.36</v>
      </c>
      <c r="AB16" s="15" t="str">
        <f>IFERROR(IF(AC16="","",IF(AC16&lt;=0.2,"Leve",IF(AC16&lt;=0.4,"Menor",IF(AC16&lt;=0.6,"Moderado",IF(AC16&lt;=0.8,"Mayor","Catastrófico"))))),"")</f>
        <v>Mayor</v>
      </c>
      <c r="AC16" s="13">
        <f>IFERROR(IF(R16="Impacto",(M16-(+M16*U16)),IF(R16="Probabilidad",M16,"")),"")</f>
        <v>0.8</v>
      </c>
      <c r="AD16" s="16"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12" t="s">
        <v>66</v>
      </c>
      <c r="AF16" s="299"/>
      <c r="AG16" s="299"/>
      <c r="AH16" s="301"/>
      <c r="AI16" s="301"/>
      <c r="AJ16" s="301"/>
      <c r="AK16" s="12"/>
    </row>
    <row r="17" spans="1:37" ht="409.5">
      <c r="A17" s="332"/>
      <c r="B17" s="274"/>
      <c r="C17" s="311"/>
      <c r="D17" s="311"/>
      <c r="E17" s="335"/>
      <c r="F17" s="274"/>
      <c r="G17" s="274"/>
      <c r="H17" s="276"/>
      <c r="I17" s="278"/>
      <c r="J17" s="280"/>
      <c r="K17" s="337">
        <f ca="1">IF(NOT(ISERROR(MATCH(J17,_xlfn.ANCHORARRAY(E20),0))),#REF!&amp;"Por favor no seleccionar los criterios de impacto",J17)</f>
        <v>0</v>
      </c>
      <c r="L17" s="339"/>
      <c r="M17" s="337"/>
      <c r="N17" s="341"/>
      <c r="O17" s="8">
        <v>2</v>
      </c>
      <c r="P17" s="9" t="s">
        <v>67</v>
      </c>
      <c r="Q17" s="10" t="s">
        <v>68</v>
      </c>
      <c r="R17" s="11" t="str">
        <f t="shared" si="1"/>
        <v>Probabilidad</v>
      </c>
      <c r="S17" s="12" t="s">
        <v>69</v>
      </c>
      <c r="T17" s="12" t="s">
        <v>62</v>
      </c>
      <c r="U17" s="13" t="str">
        <f t="shared" ref="U17" si="2">IF(AND(S17="Preventivo",T17="Automático"),"50%",IF(AND(S17="Preventivo",T17="Manual"),"40%",IF(AND(S17="Detectivo",T17="Automático"),"40%",IF(AND(S17="Detectivo",T17="Manual"),"30%",IF(AND(S17="Correctivo",T17="Automático"),"35%",IF(AND(S17="Correctivo",T17="Manual"),"25%",""))))))</f>
        <v>30%</v>
      </c>
      <c r="V17" s="12" t="s">
        <v>70</v>
      </c>
      <c r="W17" s="12" t="s">
        <v>64</v>
      </c>
      <c r="X17" s="12" t="s">
        <v>65</v>
      </c>
      <c r="Y17" s="14">
        <f>IFERROR(IF(AND(R16="Probabilidad",R17="Probabilidad"),(AA16-(+AA16*U17)),IF(R17="Probabilidad",(I16-(+I16*U17)),IF(R17="Impacto",AA16,""))),"")</f>
        <v>0.252</v>
      </c>
      <c r="Z17" s="15" t="str">
        <f t="shared" ref="Z17:Z23" si="3">IFERROR(IF(Y17="","",IF(Y17&lt;=0.2,"Muy Baja",IF(Y17&lt;=0.4,"Baja",IF(Y17&lt;=0.6,"Media",IF(Y17&lt;=0.8,"Alta","Muy Alta"))))),"")</f>
        <v>Baja</v>
      </c>
      <c r="AA17" s="13">
        <f t="shared" ref="AA17" si="4">+Y17</f>
        <v>0.252</v>
      </c>
      <c r="AB17" s="15" t="str">
        <f t="shared" ref="AB17:AB23" si="5">IFERROR(IF(AC17="","",IF(AC17&lt;=0.2,"Leve",IF(AC17&lt;=0.4,"Menor",IF(AC17&lt;=0.6,"Moderado",IF(AC17&lt;=0.8,"Mayor","Catastrófico"))))),"")</f>
        <v>Mayor</v>
      </c>
      <c r="AC17" s="13">
        <f>IFERROR(IF(AND(R16="Impacto",R17="Impacto"),(AC16-(+AC16*U17)),IF(R17="Impacto",($M$16-(+$M$16*U17)),IF(R17="Probabilidad",AC16,""))),"")</f>
        <v>0.8</v>
      </c>
      <c r="AD17" s="16" t="str">
        <f t="shared" ref="AD17" si="6">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12" t="s">
        <v>66</v>
      </c>
      <c r="AF17" s="300"/>
      <c r="AG17" s="300"/>
      <c r="AH17" s="302"/>
      <c r="AI17" s="302"/>
      <c r="AJ17" s="302"/>
      <c r="AK17" s="12"/>
    </row>
    <row r="18" spans="1:37" ht="409.5">
      <c r="A18" s="310">
        <v>2</v>
      </c>
      <c r="B18" s="232" t="s">
        <v>71</v>
      </c>
      <c r="C18" s="312" t="s">
        <v>72</v>
      </c>
      <c r="D18" s="312" t="s">
        <v>73</v>
      </c>
      <c r="E18" s="312" t="s">
        <v>74</v>
      </c>
      <c r="F18" s="232" t="s">
        <v>75</v>
      </c>
      <c r="G18" s="232" t="s">
        <v>76</v>
      </c>
      <c r="H18" s="226" t="str">
        <f>IF(G18="","",IF('[1]Mapa final'!G11='[1]Tabla probabilidad'!$C$4,"MUY BAJA",IF('[1]Mapa final'!G11='[1]Tabla probabilidad'!$C$5,"BAJA",IF('[1]Mapa final'!G11='[1]Tabla probabilidad'!$C$6,"MEDIA",IF('[1]Mapa final'!G11='[1]Tabla probabilidad'!$C$7,"ALTA",IF('[1]Mapa final'!G11='[1]Tabla probabilidad'!$C$8,"MUY ALTA"))))))</f>
        <v>ALTA</v>
      </c>
      <c r="I18" s="225">
        <f t="shared" ref="I18" si="7">IF(H18="","",IF(H18="Muy Baja",0.2,IF(H18="Baja",0.4,IF(H18="Media",0.6,IF(H18="Alta",0.8,IF(H18="Muy Alta",1,))))))</f>
        <v>0.8</v>
      </c>
      <c r="J18" s="224" t="s">
        <v>77</v>
      </c>
      <c r="K18" s="292" t="str">
        <f>IF(NOT(ISERROR(MATCH(J18,'[2]Tabla Impacto'!$B$221:$B$223,0))),'[2]Tabla Impacto'!$F$223&amp;"Por favor no seleccionar los criterios de impacto(Afectación Económica o presupuestal y Pérdida Reputacional)",J18)</f>
        <v xml:space="preserve">     El riesgo afecta la imagen de la entidad con algunos usuarios de relevancia frente al logro de los objetivos</v>
      </c>
      <c r="L18" s="330" t="str">
        <f>IF(OR(K18='[2]Tabla Impacto'!$C$11,K18='[2]Tabla Impacto'!$D$11),"Leve",IF(OR(K18='[2]Tabla Impacto'!$C$12,K18='[2]Tabla Impacto'!$D$12),"Menor",IF(OR(K18='[2]Tabla Impacto'!$C$13,K18='[2]Tabla Impacto'!$D$13),"Moderado",IF(OR(K18='[2]Tabla Impacto'!$C$14,K18='[2]Tabla Impacto'!$D$14),"Mayor",IF(OR(K18='[2]Tabla Impacto'!$C$15,K18='[2]Tabla Impacto'!$D$15),"Catastrófico","")))))</f>
        <v>Moderado</v>
      </c>
      <c r="M18" s="292">
        <f>IF(L18="","",IF(L18="Leve",0.2,IF(L18="Menor",0.4,IF(L18="Moderado",0.6,IF(L18="Mayor",0.8,IF(L18="Catastrófico",1,))))))</f>
        <v>0.6</v>
      </c>
      <c r="N18" s="34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8">
        <v>1</v>
      </c>
      <c r="P18" s="9" t="s">
        <v>78</v>
      </c>
      <c r="Q18" s="10" t="s">
        <v>79</v>
      </c>
      <c r="R18" s="11" t="str">
        <f t="shared" si="1"/>
        <v>Probabilidad</v>
      </c>
      <c r="S18" s="12" t="s">
        <v>69</v>
      </c>
      <c r="T18" s="12" t="s">
        <v>62</v>
      </c>
      <c r="U18" s="13" t="str">
        <f>IF(AND(S18="Preventivo",T18="Automático"),"50%",IF(AND(S18="Preventivo",T18="Manual"),"40%",IF(AND(S18="Detectivo",T18="Automático"),"40%",IF(AND(S18="Detectivo",T18="Manual"),"30%",IF(AND(S18="Correctivo",T18="Automático"),"35%",IF(AND(S18="Correctivo",T18="Manual"),"25%",""))))))</f>
        <v>30%</v>
      </c>
      <c r="V18" s="12" t="s">
        <v>70</v>
      </c>
      <c r="W18" s="12" t="s">
        <v>64</v>
      </c>
      <c r="X18" s="12" t="s">
        <v>65</v>
      </c>
      <c r="Y18" s="14">
        <f>IFERROR(IF(R18="Probabilidad",(I18-(+I18*U18)),IF(R18="Impacto",I18,"")),"")</f>
        <v>0.56000000000000005</v>
      </c>
      <c r="Z18" s="15" t="str">
        <f>IFERROR(IF(Y18="","",IF(Y18&lt;=0.2,"Muy Baja",IF(Y18&lt;=0.4,"Baja",IF(Y18&lt;=0.6,"Media",IF(Y18&lt;=0.8,"Alta","Muy Alta"))))),"")</f>
        <v>Media</v>
      </c>
      <c r="AA18" s="13">
        <f>+Y18</f>
        <v>0.56000000000000005</v>
      </c>
      <c r="AB18" s="15" t="str">
        <f>IFERROR(IF(AC18="","",IF(AC18&lt;=0.2,"Leve",IF(AC18&lt;=0.4,"Menor",IF(AC18&lt;=0.6,"Moderado",IF(AC18&lt;=0.8,"Mayor","Catastrófico"))))),"")</f>
        <v>Moderado</v>
      </c>
      <c r="AC18" s="13">
        <f>IFERROR(IF(R18="Impacto",(M18-(+M18*U18)),IF(R18="Probabilidad",M18,"")),"")</f>
        <v>0.6</v>
      </c>
      <c r="AD18" s="16"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12" t="s">
        <v>66</v>
      </c>
      <c r="AF18" s="299"/>
      <c r="AG18" s="299"/>
      <c r="AH18" s="301"/>
      <c r="AI18" s="301"/>
      <c r="AJ18" s="301"/>
      <c r="AK18" s="12"/>
    </row>
    <row r="19" spans="1:37" ht="283.5">
      <c r="A19" s="310"/>
      <c r="B19" s="232"/>
      <c r="C19" s="312"/>
      <c r="D19" s="312"/>
      <c r="E19" s="312"/>
      <c r="F19" s="232"/>
      <c r="G19" s="232"/>
      <c r="H19" s="226"/>
      <c r="I19" s="225"/>
      <c r="J19" s="224"/>
      <c r="K19" s="292">
        <f ca="1">IF(NOT(ISERROR(MATCH(J19,_xlfn.ANCHORARRAY(E22),0))),#REF!&amp;"Por favor no seleccionar los criterios de impacto",J19)</f>
        <v>0</v>
      </c>
      <c r="L19" s="330"/>
      <c r="M19" s="292"/>
      <c r="N19" s="342"/>
      <c r="O19" s="8">
        <v>2</v>
      </c>
      <c r="P19" s="9" t="s">
        <v>80</v>
      </c>
      <c r="Q19" s="10" t="s">
        <v>81</v>
      </c>
      <c r="R19" s="11" t="str">
        <f t="shared" si="1"/>
        <v>Probabilidad</v>
      </c>
      <c r="S19" s="12" t="s">
        <v>69</v>
      </c>
      <c r="T19" s="12" t="s">
        <v>62</v>
      </c>
      <c r="U19" s="13" t="str">
        <f t="shared" ref="U19" si="8">IF(AND(S19="Preventivo",T19="Automático"),"50%",IF(AND(S19="Preventivo",T19="Manual"),"40%",IF(AND(S19="Detectivo",T19="Automático"),"40%",IF(AND(S19="Detectivo",T19="Manual"),"30%",IF(AND(S19="Correctivo",T19="Automático"),"35%",IF(AND(S19="Correctivo",T19="Manual"),"25%",""))))))</f>
        <v>30%</v>
      </c>
      <c r="V19" s="12" t="s">
        <v>70</v>
      </c>
      <c r="W19" s="12" t="s">
        <v>64</v>
      </c>
      <c r="X19" s="12" t="s">
        <v>65</v>
      </c>
      <c r="Y19" s="14">
        <f>IFERROR(IF(AND(R18="Probabilidad",R19="Probabilidad"),(AA18-(+AA18*U19)),IF(R19="Probabilidad",(I18-(+I18*U19)),IF(R19="Impacto",AA18,""))),"")</f>
        <v>0.39200000000000002</v>
      </c>
      <c r="Z19" s="15" t="str">
        <f t="shared" si="3"/>
        <v>Baja</v>
      </c>
      <c r="AA19" s="13">
        <f t="shared" ref="AA19" si="9">+Y19</f>
        <v>0.39200000000000002</v>
      </c>
      <c r="AB19" s="15" t="str">
        <f t="shared" si="5"/>
        <v>Mayor</v>
      </c>
      <c r="AC19" s="13">
        <f>IFERROR(IF(AND(R18="Impacto",R19="Impacto"),(AC16-(+AC16*U19)),IF(R19="Impacto",($M$18-(+$M$18*U19)),IF(R19="Probabilidad",AC16,""))),"")</f>
        <v>0.8</v>
      </c>
      <c r="AD19" s="16" t="str">
        <f t="shared" ref="AD19" si="10">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12" t="s">
        <v>66</v>
      </c>
      <c r="AF19" s="300"/>
      <c r="AG19" s="300"/>
      <c r="AH19" s="302"/>
      <c r="AI19" s="302"/>
      <c r="AJ19" s="302"/>
      <c r="AK19" s="12"/>
    </row>
    <row r="20" spans="1:37" ht="267.75">
      <c r="A20" s="310">
        <v>3</v>
      </c>
      <c r="B20" s="232" t="s">
        <v>71</v>
      </c>
      <c r="C20" s="312" t="s">
        <v>82</v>
      </c>
      <c r="D20" s="312" t="s">
        <v>83</v>
      </c>
      <c r="E20" s="312" t="s">
        <v>84</v>
      </c>
      <c r="F20" s="232" t="s">
        <v>56</v>
      </c>
      <c r="G20" s="232" t="s">
        <v>85</v>
      </c>
      <c r="H20" s="226" t="str">
        <f>IF(G20="","",IF('[1]Mapa final'!G13='[1]Tabla probabilidad'!$C$4,"MUY BAJA",IF('[1]Mapa final'!G13='[1]Tabla probabilidad'!$C$5,"BAJA",IF('[1]Mapa final'!G13='[1]Tabla probabilidad'!$C$6,"MEDIA",IF('[1]Mapa final'!G13='[1]Tabla probabilidad'!$C$7,"ALTA",IF('[1]Mapa final'!G13='[1]Tabla probabilidad'!$C$8,"MUY ALTA"))))))</f>
        <v>BAJA</v>
      </c>
      <c r="I20" s="225">
        <f t="shared" ref="I20" si="11">IF(H20="","",IF(H20="Muy Baja",0.2,IF(H20="Baja",0.4,IF(H20="Media",0.6,IF(H20="Alta",0.8,IF(H20="Muy Alta",1,))))))</f>
        <v>0.4</v>
      </c>
      <c r="J20" s="224" t="s">
        <v>58</v>
      </c>
      <c r="K20" s="292" t="str">
        <f>IF(NOT(ISERROR(MATCH(J20,'[2]Tabla Impacto'!$B$221:$B$223,0))),'[2]Tabla Impacto'!$F$223&amp;"Por favor no seleccionar los criterios de impacto(Afectación Económica o presupuestal y Pérdida Reputacional)",J20)</f>
        <v xml:space="preserve">     El riesgo afecta la imagen de de la entidad con efecto publicitario sostenido a nivel de sector administrativo, nivel departamental o municipal</v>
      </c>
      <c r="L20" s="330" t="str">
        <f>IF(OR(K20='[2]Tabla Impacto'!$C$11,K20='[2]Tabla Impacto'!$D$11),"Leve",IF(OR(K20='[2]Tabla Impacto'!$C$12,K20='[2]Tabla Impacto'!$D$12),"Menor",IF(OR(K20='[2]Tabla Impacto'!$C$13,K20='[2]Tabla Impacto'!$D$13),"Moderado",IF(OR(K20='[2]Tabla Impacto'!$C$14,K20='[2]Tabla Impacto'!$D$14),"Mayor",IF(OR(K20='[2]Tabla Impacto'!$C$15,K20='[2]Tabla Impacto'!$D$15),"Catastrófico","")))))</f>
        <v>Mayor</v>
      </c>
      <c r="M20" s="292">
        <f>IF(L20="","",IF(L20="Leve",0.2,IF(L20="Menor",0.4,IF(L20="Moderado",0.6,IF(L20="Mayor",0.8,IF(L20="Catastrófico",1,))))))</f>
        <v>0.8</v>
      </c>
      <c r="N20" s="342"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8">
        <v>1</v>
      </c>
      <c r="P20" s="9" t="s">
        <v>86</v>
      </c>
      <c r="Q20" s="10" t="s">
        <v>87</v>
      </c>
      <c r="R20" s="11" t="str">
        <f t="shared" si="1"/>
        <v>Probabilidad</v>
      </c>
      <c r="S20" s="12" t="s">
        <v>69</v>
      </c>
      <c r="T20" s="12" t="s">
        <v>62</v>
      </c>
      <c r="U20" s="13" t="str">
        <f>IF(AND(S20="Preventivo",T20="Automático"),"50%",IF(AND(S20="Preventivo",T20="Manual"),"40%",IF(AND(S20="Detectivo",T20="Automático"),"40%",IF(AND(S20="Detectivo",T20="Manual"),"30%",IF(AND(S20="Correctivo",T20="Automático"),"35%",IF(AND(S20="Correctivo",T20="Manual"),"25%",""))))))</f>
        <v>30%</v>
      </c>
      <c r="V20" s="12" t="s">
        <v>63</v>
      </c>
      <c r="W20" s="12" t="s">
        <v>64</v>
      </c>
      <c r="X20" s="12" t="s">
        <v>65</v>
      </c>
      <c r="Y20" s="14">
        <f>IFERROR(IF(R20="Probabilidad",(I20-(+I20*U20)),IF(R20="Impacto",I20,"")),"")</f>
        <v>0.28000000000000003</v>
      </c>
      <c r="Z20" s="15" t="str">
        <f>IFERROR(IF(Y20="","",IF(Y20&lt;=0.2,"Muy Baja",IF(Y20&lt;=0.4,"Baja",IF(Y20&lt;=0.6,"Media",IF(Y20&lt;=0.8,"Alta","Muy Alta"))))),"")</f>
        <v>Baja</v>
      </c>
      <c r="AA20" s="13">
        <f>+Y20</f>
        <v>0.28000000000000003</v>
      </c>
      <c r="AB20" s="15" t="str">
        <f>IFERROR(IF(AC20="","",IF(AC20&lt;=0.2,"Leve",IF(AC20&lt;=0.4,"Menor",IF(AC20&lt;=0.6,"Moderado",IF(AC20&lt;=0.8,"Mayor","Catastrófico"))))),"")</f>
        <v>Mayor</v>
      </c>
      <c r="AC20" s="13">
        <f>IFERROR(IF(R20="Impacto",(M20-(+M20*U20)),IF(R20="Probabilidad",M20,"")),"")</f>
        <v>0.8</v>
      </c>
      <c r="AD20" s="16"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Alto</v>
      </c>
      <c r="AE20" s="12" t="s">
        <v>66</v>
      </c>
      <c r="AF20" s="299"/>
      <c r="AG20" s="299"/>
      <c r="AH20" s="301"/>
      <c r="AI20" s="301"/>
      <c r="AJ20" s="301"/>
      <c r="AK20" s="12"/>
    </row>
    <row r="21" spans="1:37" ht="252">
      <c r="A21" s="310"/>
      <c r="B21" s="232"/>
      <c r="C21" s="312"/>
      <c r="D21" s="312"/>
      <c r="E21" s="312"/>
      <c r="F21" s="232"/>
      <c r="G21" s="232"/>
      <c r="H21" s="226"/>
      <c r="I21" s="225"/>
      <c r="J21" s="224"/>
      <c r="K21" s="292">
        <f ca="1">IF(NOT(ISERROR(MATCH(J21,_xlfn.ANCHORARRAY(#REF!),0))),#REF!&amp;"Por favor no seleccionar los criterios de impacto",J21)</f>
        <v>0</v>
      </c>
      <c r="L21" s="330"/>
      <c r="M21" s="292"/>
      <c r="N21" s="342"/>
      <c r="O21" s="8">
        <v>2</v>
      </c>
      <c r="P21" s="9" t="s">
        <v>88</v>
      </c>
      <c r="Q21" s="10" t="s">
        <v>89</v>
      </c>
      <c r="R21" s="11" t="str">
        <f t="shared" si="1"/>
        <v>Probabilidad</v>
      </c>
      <c r="S21" s="12" t="s">
        <v>61</v>
      </c>
      <c r="T21" s="12" t="s">
        <v>62</v>
      </c>
      <c r="U21" s="13" t="str">
        <f t="shared" ref="U21" si="12">IF(AND(S21="Preventivo",T21="Automático"),"50%",IF(AND(S21="Preventivo",T21="Manual"),"40%",IF(AND(S21="Detectivo",T21="Automático"),"40%",IF(AND(S21="Detectivo",T21="Manual"),"30%",IF(AND(S21="Correctivo",T21="Automático"),"35%",IF(AND(S21="Correctivo",T21="Manual"),"25%",""))))))</f>
        <v>40%</v>
      </c>
      <c r="V21" s="12" t="s">
        <v>70</v>
      </c>
      <c r="W21" s="12" t="s">
        <v>64</v>
      </c>
      <c r="X21" s="12" t="s">
        <v>65</v>
      </c>
      <c r="Y21" s="22">
        <f>IFERROR(IF(AND(R20="Probabilidad",R21="Probabilidad"),(AA20-(+AA20*U21)),IF(R21="Probabilidad",(I20-(+I20*U21)),IF(R21="Impacto",AA20,""))),"")</f>
        <v>0.16800000000000001</v>
      </c>
      <c r="Z21" s="15" t="str">
        <f t="shared" si="3"/>
        <v>Muy Baja</v>
      </c>
      <c r="AA21" s="13">
        <f t="shared" ref="AA21" si="13">+Y21</f>
        <v>0.16800000000000001</v>
      </c>
      <c r="AB21" s="15" t="str">
        <f t="shared" si="5"/>
        <v>Moderado</v>
      </c>
      <c r="AC21" s="13">
        <f>IFERROR(IF(AND(R20="Impacto",R21="Impacto"),(AC18-(+AC18*U21)),IF(R21="Impacto",($M$20-(+$M$20*U21)),IF(R21="Probabilidad",AC18,""))),"")</f>
        <v>0.6</v>
      </c>
      <c r="AD21" s="16" t="str">
        <f t="shared" ref="AD21" si="14">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66</v>
      </c>
      <c r="AF21" s="300"/>
      <c r="AG21" s="300"/>
      <c r="AH21" s="302"/>
      <c r="AI21" s="302"/>
      <c r="AJ21" s="302"/>
      <c r="AK21" s="12"/>
    </row>
    <row r="22" spans="1:37" ht="283.5">
      <c r="A22" s="310">
        <v>4</v>
      </c>
      <c r="B22" s="232" t="s">
        <v>71</v>
      </c>
      <c r="C22" s="312" t="s">
        <v>90</v>
      </c>
      <c r="D22" s="312" t="s">
        <v>91</v>
      </c>
      <c r="E22" s="305" t="s">
        <v>92</v>
      </c>
      <c r="F22" s="232" t="s">
        <v>56</v>
      </c>
      <c r="G22" s="232" t="s">
        <v>76</v>
      </c>
      <c r="H22" s="226" t="str">
        <f>IF(G22="","",IF('[1]Mapa final'!G15='[1]Tabla probabilidad'!$C$4,"MUY BAJA",IF('[1]Mapa final'!G15='[1]Tabla probabilidad'!$C$5,"BAJA",IF('[1]Mapa final'!G15='[1]Tabla probabilidad'!$C$6,"MEDIA",IF('[1]Mapa final'!G15='[1]Tabla probabilidad'!$C$7,"ALTA",IF('[1]Mapa final'!G15='[1]Tabla probabilidad'!$C$8,"MUY ALTA"))))))</f>
        <v>ALTA</v>
      </c>
      <c r="I22" s="225">
        <f t="shared" ref="I22" si="15">IF(H22="","",IF(H22="Muy Baja",0.2,IF(H22="Baja",0.4,IF(H22="Media",0.6,IF(H22="Alta",0.8,IF(H22="Muy Alta",1,))))))</f>
        <v>0.8</v>
      </c>
      <c r="J22" s="224" t="s">
        <v>77</v>
      </c>
      <c r="K22" s="337" t="str">
        <f>IF(NOT(ISERROR(MATCH(J22,'[2]Tabla Impacto'!$B$221:$B$223,0))),'[2]Tabla Impacto'!$F$223&amp;"Por favor no seleccionar los criterios de impacto(Afectación Económica o presupuestal y Pérdida Reputacional)",J22)</f>
        <v xml:space="preserve">     El riesgo afecta la imagen de la entidad con algunos usuarios de relevancia frente al logro de los objetivos</v>
      </c>
      <c r="L22" s="339" t="str">
        <f>IF(OR(K22='[2]Tabla Impacto'!$C$11,K22='[2]Tabla Impacto'!$D$11),"Leve",IF(OR(K22='[2]Tabla Impacto'!$C$12,K22='[2]Tabla Impacto'!$D$12),"Menor",IF(OR(K22='[2]Tabla Impacto'!$C$13,K22='[2]Tabla Impacto'!$D$13),"Moderado",IF(OR(K22='[2]Tabla Impacto'!$C$14,K22='[2]Tabla Impacto'!$D$14),"Mayor",IF(OR(K22='[2]Tabla Impacto'!$C$15,K22='[2]Tabla Impacto'!$D$15),"Catastrófico","")))))</f>
        <v>Moderado</v>
      </c>
      <c r="M22" s="337">
        <f>IF(L22="","",IF(L22="Leve",0.2,IF(L22="Menor",0.4,IF(L22="Moderado",0.6,IF(L22="Mayor",0.8,IF(L22="Catastrófico",1,))))))</f>
        <v>0.6</v>
      </c>
      <c r="N22" s="341"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7">
        <v>1</v>
      </c>
      <c r="P22" s="9" t="s">
        <v>93</v>
      </c>
      <c r="Q22" s="10" t="s">
        <v>94</v>
      </c>
      <c r="R22" s="11" t="str">
        <f t="shared" si="1"/>
        <v>Probabilidad</v>
      </c>
      <c r="S22" s="12" t="s">
        <v>61</v>
      </c>
      <c r="T22" s="12" t="s">
        <v>62</v>
      </c>
      <c r="U22" s="13" t="str">
        <f>IF(AND(S22="Preventivo",T22="Automático"),"50%",IF(AND(S22="Preventivo",T22="Manual"),"40%",IF(AND(S22="Detectivo",T22="Automático"),"40%",IF(AND(S22="Detectivo",T22="Manual"),"30%",IF(AND(S22="Correctivo",T22="Automático"),"35%",IF(AND(S22="Correctivo",T22="Manual"),"25%",""))))))</f>
        <v>40%</v>
      </c>
      <c r="V22" s="12" t="s">
        <v>70</v>
      </c>
      <c r="W22" s="12" t="s">
        <v>64</v>
      </c>
      <c r="X22" s="12" t="s">
        <v>65</v>
      </c>
      <c r="Y22" s="14">
        <f>IFERROR(IF(R22="Probabilidad",(I22-(+I22*U22)),IF(R22="Impacto",I22,"")),"")</f>
        <v>0.48</v>
      </c>
      <c r="Z22" s="15" t="str">
        <f>IFERROR(IF(Y22="","",IF(Y22&lt;=0.2,"Muy Baja",IF(Y22&lt;=0.4,"Baja",IF(Y22&lt;=0.6,"Media",IF(Y22&lt;=0.8,"Alta","Muy Alta"))))),"")</f>
        <v>Media</v>
      </c>
      <c r="AA22" s="13">
        <f>+Y22</f>
        <v>0.48</v>
      </c>
      <c r="AB22" s="15" t="str">
        <f>IFERROR(IF(AC22="","",IF(AC22&lt;=0.2,"Leve",IF(AC22&lt;=0.4,"Menor",IF(AC22&lt;=0.6,"Moderado",IF(AC22&lt;=0.8,"Mayor","Catastrófico"))))),"")</f>
        <v>Moderado</v>
      </c>
      <c r="AC22" s="13">
        <f>IFERROR(IF(R22="Impacto",(M22-(+M22*U22)),IF(R22="Probabilidad",M22,"")),"")</f>
        <v>0.6</v>
      </c>
      <c r="AD22" s="16"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12" t="s">
        <v>66</v>
      </c>
      <c r="AF22" s="299"/>
      <c r="AG22" s="299"/>
      <c r="AH22" s="301"/>
      <c r="AI22" s="301"/>
      <c r="AJ22" s="301"/>
      <c r="AK22" s="12"/>
    </row>
    <row r="23" spans="1:37" ht="220.5">
      <c r="A23" s="310"/>
      <c r="B23" s="232"/>
      <c r="C23" s="312"/>
      <c r="D23" s="312"/>
      <c r="E23" s="305"/>
      <c r="F23" s="232"/>
      <c r="G23" s="232"/>
      <c r="H23" s="226"/>
      <c r="I23" s="225"/>
      <c r="J23" s="224"/>
      <c r="K23" s="292">
        <f ca="1">IF(NOT(ISERROR(MATCH(J23,_xlfn.ANCHORARRAY(#REF!),0))),#REF!&amp;"Por favor no seleccionar los criterios de impacto",J23)</f>
        <v>0</v>
      </c>
      <c r="L23" s="330"/>
      <c r="M23" s="292"/>
      <c r="N23" s="342"/>
      <c r="O23" s="8">
        <v>2</v>
      </c>
      <c r="P23" s="9" t="s">
        <v>95</v>
      </c>
      <c r="Q23" s="10" t="s">
        <v>96</v>
      </c>
      <c r="R23" s="11" t="str">
        <f t="shared" si="1"/>
        <v>Probabilidad</v>
      </c>
      <c r="S23" s="12" t="s">
        <v>61</v>
      </c>
      <c r="T23" s="12" t="s">
        <v>62</v>
      </c>
      <c r="U23" s="13" t="str">
        <f t="shared" ref="U23" si="16">IF(AND(S23="Preventivo",T23="Automático"),"50%",IF(AND(S23="Preventivo",T23="Manual"),"40%",IF(AND(S23="Detectivo",T23="Automático"),"40%",IF(AND(S23="Detectivo",T23="Manual"),"30%",IF(AND(S23="Correctivo",T23="Automático"),"35%",IF(AND(S23="Correctivo",T23="Manual"),"25%",""))))))</f>
        <v>40%</v>
      </c>
      <c r="V23" s="12" t="s">
        <v>70</v>
      </c>
      <c r="W23" s="12" t="s">
        <v>64</v>
      </c>
      <c r="X23" s="12" t="s">
        <v>65</v>
      </c>
      <c r="Y23" s="14">
        <f>IFERROR(IF(AND(R22="Probabilidad",R23="Probabilidad"),(AA22-(+AA22*U23)),IF(R23="Probabilidad",(I22-(+I22*U23)),IF(R23="Impacto",AA22,""))),"")</f>
        <v>0.28799999999999998</v>
      </c>
      <c r="Z23" s="15" t="str">
        <f t="shared" si="3"/>
        <v>Baja</v>
      </c>
      <c r="AA23" s="13">
        <f t="shared" ref="AA23" si="17">+Y23</f>
        <v>0.28799999999999998</v>
      </c>
      <c r="AB23" s="15" t="str">
        <f t="shared" si="5"/>
        <v>Mayor</v>
      </c>
      <c r="AC23" s="13">
        <f>IFERROR(IF(AND(R22="Impacto",R23="Impacto"),(AC20-(+AC20*U23)),IF(R23="Impacto",($M$22-(+$M$22*U23)),IF(R23="Probabilidad",AC20,""))),"")</f>
        <v>0.8</v>
      </c>
      <c r="AD23" s="16" t="str">
        <f t="shared" ref="AD23" si="18">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Alto</v>
      </c>
      <c r="AE23" s="12" t="s">
        <v>66</v>
      </c>
      <c r="AF23" s="300"/>
      <c r="AG23" s="300"/>
      <c r="AH23" s="302"/>
      <c r="AI23" s="302"/>
      <c r="AJ23" s="302"/>
      <c r="AK23" s="12"/>
    </row>
    <row r="24" spans="1:37">
      <c r="A24" s="231">
        <v>10</v>
      </c>
      <c r="B24" s="232"/>
      <c r="C24" s="232"/>
      <c r="D24" s="232"/>
      <c r="E24" s="233"/>
      <c r="F24" s="232"/>
      <c r="G24" s="232"/>
      <c r="H24" s="226" t="str">
        <f>IF(G24="","",IF('[1]Mapa final'!G17='[1]Tabla probabilidad'!$C$4,"MUY BAJA",IF('[1]Mapa final'!G17='[1]Tabla probabilidad'!$C$5,"BAJA",IF('[1]Mapa final'!G17='[1]Tabla probabilidad'!$C$6,"MEDIA",IF('[1]Mapa final'!G17='[1]Tabla probabilidad'!$C$7,"ALTA",IF('[1]Mapa final'!G17='[1]Tabla probabilidad'!$C$8,"MUY ALTA"))))))</f>
        <v/>
      </c>
      <c r="I24" s="225" t="str">
        <f t="shared" ref="I24" si="19">IF(H24="","",IF(H24="Muy Baja",0.2,IF(H24="Baja",0.4,IF(H24="Media",0.6,IF(H24="Alta",0.8,IF(H24="Muy Alta",1,))))))</f>
        <v/>
      </c>
      <c r="J24" s="224"/>
      <c r="K24" s="225" t="str">
        <f>IF(J24="","",IF(NOT(ISERROR(MATCH(J24,'[1]Tabla Impacto'!$B$37:$B$39,0))),'[1]Tabla Impacto'!$F$37&amp;"Por favor no seleccionar los criterios de impacto(Afectación Económica o presupuestal y Pérdida Reputacional)",J24))</f>
        <v/>
      </c>
      <c r="L24" s="226" t="str">
        <f>IF(OR(J24='[1]Tabla Impacto'!$F$25,J24='[1]Tabla Impacto'!$F$31),"Leve",IF(OR(J24='[1]Tabla Impacto'!$F$26,J24='[1]Tabla Impacto'!$F$32),"Menor",IF(OR(J24='[1]Tabla Impacto'!$F$27,J24='[1]Tabla Impacto'!$F$33,J24='[1]Tabla Impacto'!$F$37),"Moderado",IF(OR(J24='[1]Tabla Impacto'!$F$28,J24='[1]Tabla Impacto'!$F$34,J24='[1]Tabla Impacto'!$F$38),"Mayor",IF(OR(J24='[1]Tabla Impacto'!$F$29,J24='[1]Tabla Impacto'!$F$35,J24='[1]Tabla Impacto'!$F$39),"Catastrófico","")))))</f>
        <v/>
      </c>
      <c r="M24" s="225" t="str">
        <f t="shared" ref="M24" si="20">IF(L24="","",IF(L24="Leve",0.2,IF(L24="Menor",0.4,IF(L24="Moderado",0.6,IF(L24="Mayor",0.8,IF(L24="Catastrófico",1,))))))</f>
        <v/>
      </c>
      <c r="N24" s="227" t="str">
        <f t="shared" ref="N24" si="2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23">
        <v>1</v>
      </c>
      <c r="P24" s="24"/>
      <c r="Q24" s="24"/>
      <c r="R24" s="23" t="str">
        <f t="shared" si="1"/>
        <v/>
      </c>
      <c r="S24" s="12"/>
      <c r="T24" s="12"/>
      <c r="U24" s="25" t="str">
        <f>IF(AND(S24="Preventivo",T24="Automático"),"50%",IF(AND(S24="Preventivo",T24="Manual"),"40%",IF(AND(S24="Detectivo",T24="Automático"),"40%",IF(AND(S24="Detectivo",T24="Manual"),"30%",IF(AND(S24="Correctivo",T24="Automático"),"35%",IF(AND(S24="Correctivo",T24="Manual"),"25%",""))))))</f>
        <v/>
      </c>
      <c r="V24" s="12"/>
      <c r="W24" s="12"/>
      <c r="X24" s="12"/>
      <c r="Y24" s="26" t="str">
        <f t="shared" ref="Y24:Y25" si="22">IFERROR(IF(R24="Probabilidad",(I24-(+I24*U24)),IF(R24="Impacto",I24,"")),"")</f>
        <v/>
      </c>
      <c r="Z24" s="19" t="str">
        <f>IFERROR(IF(Y24="","",IF(Y24&lt;=0.2,"Muy Baja",IF(Y24&lt;=0.4,"Baja",IF(Y24&lt;=0.6,"Media",IF(Y24&lt;=0.8,"Alta","Muy Alta"))))),"")</f>
        <v/>
      </c>
      <c r="AA24" s="25" t="str">
        <f>+Y24</f>
        <v/>
      </c>
      <c r="AB24" s="19" t="str">
        <f>IFERROR(IF(AC24="","",IF(AC24&lt;=0.2,"Leve",IF(AC24&lt;=0.4,"Menor",IF(AC24&lt;=0.6,"Moderado",IF(AC24&lt;=0.8,"Mayor","Catastrófico"))))),"")</f>
        <v/>
      </c>
      <c r="AC24" s="25" t="str">
        <f t="shared" ref="AC24:AC25" si="23">IFERROR(IF(R24="Impacto",(M24-(+M24*U24)),IF(R24="Probabilidad",M24,"")),"")</f>
        <v/>
      </c>
      <c r="AD24" s="2"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31"/>
      <c r="B25" s="232"/>
      <c r="C25" s="232"/>
      <c r="D25" s="232"/>
      <c r="E25" s="233"/>
      <c r="F25" s="232"/>
      <c r="G25" s="232"/>
      <c r="H25" s="226"/>
      <c r="I25" s="225"/>
      <c r="J25" s="224"/>
      <c r="K25" s="225">
        <f ca="1">IF(NOT(ISERROR(MATCH(J25,_xlfn.ANCHORARRAY(E27),0))),#REF!&amp;"Por favor no seleccionar los criterios de impacto",J25)</f>
        <v>0</v>
      </c>
      <c r="L25" s="226"/>
      <c r="M25" s="225"/>
      <c r="N25" s="227"/>
      <c r="O25" s="23">
        <v>2</v>
      </c>
      <c r="P25" s="24"/>
      <c r="Q25" s="24"/>
      <c r="R25" s="23" t="str">
        <f t="shared" si="1"/>
        <v/>
      </c>
      <c r="S25" s="12"/>
      <c r="T25" s="12"/>
      <c r="U25" s="25" t="str">
        <f t="shared" ref="U25" si="24">IF(AND(S25="Preventivo",T25="Automático"),"50%",IF(AND(S25="Preventivo",T25="Manual"),"40%",IF(AND(S25="Detectivo",T25="Automático"),"40%",IF(AND(S25="Detectivo",T25="Manual"),"30%",IF(AND(S25="Correctivo",T25="Automático"),"35%",IF(AND(S25="Correctivo",T25="Manual"),"25%",""))))))</f>
        <v/>
      </c>
      <c r="V25" s="12"/>
      <c r="W25" s="12"/>
      <c r="X25" s="12"/>
      <c r="Y25" s="26" t="str">
        <f t="shared" si="22"/>
        <v/>
      </c>
      <c r="Z25" s="19" t="str">
        <f t="shared" ref="Z25" si="25">IFERROR(IF(Y25="","",IF(Y25&lt;=0.2,"Muy Baja",IF(Y25&lt;=0.4,"Baja",IF(Y25&lt;=0.6,"Media",IF(Y25&lt;=0.8,"Alta","Muy Alta"))))),"")</f>
        <v/>
      </c>
      <c r="AA25" s="25" t="str">
        <f t="shared" ref="AA25" si="26">+Y25</f>
        <v/>
      </c>
      <c r="AB25" s="19" t="str">
        <f t="shared" ref="AB25" si="27">IFERROR(IF(AC25="","",IF(AC25&lt;=0.2,"Leve",IF(AC25&lt;=0.4,"Menor",IF(AC25&lt;=0.6,"Moderado",IF(AC25&lt;=0.8,"Mayor","Catastrófico"))))),"")</f>
        <v/>
      </c>
      <c r="AC25" s="25" t="str">
        <f t="shared" si="23"/>
        <v/>
      </c>
      <c r="AD25" s="2" t="str">
        <f t="shared" ref="AD25" si="28">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28" t="s">
        <v>97</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30"/>
    </row>
    <row r="27" spans="1:37">
      <c r="A27" s="28"/>
      <c r="B27" s="29" t="s">
        <v>98</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row>
    <row r="28" spans="1:37">
      <c r="A28" s="2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37">
      <c r="A29" s="28"/>
      <c r="B29" s="2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row>
    <row r="30" spans="1:37">
      <c r="A30" s="28"/>
      <c r="B30" s="29"/>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2" spans="1:37" ht="21">
      <c r="A32" s="150" t="s">
        <v>389</v>
      </c>
      <c r="B32" s="150"/>
      <c r="C32" s="150"/>
      <c r="D32" s="150"/>
      <c r="E32" s="150"/>
    </row>
    <row r="36" spans="1:37" ht="16.5">
      <c r="A36" s="231"/>
      <c r="B36" s="231"/>
      <c r="C36" s="231"/>
      <c r="D36" s="231"/>
      <c r="E36" s="227" t="s">
        <v>0</v>
      </c>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53" t="s">
        <v>1</v>
      </c>
      <c r="AI36" s="253"/>
      <c r="AJ36" s="253"/>
      <c r="AK36" s="253"/>
    </row>
    <row r="37" spans="1:37" ht="16.5">
      <c r="A37" s="231"/>
      <c r="B37" s="231"/>
      <c r="C37" s="231"/>
      <c r="D37" s="231"/>
      <c r="E37" s="227" t="s">
        <v>2</v>
      </c>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53" t="s">
        <v>3</v>
      </c>
      <c r="AI37" s="253"/>
      <c r="AJ37" s="253"/>
      <c r="AK37" s="253"/>
    </row>
    <row r="38" spans="1:37" ht="16.5">
      <c r="A38" s="231"/>
      <c r="B38" s="231"/>
      <c r="C38" s="231"/>
      <c r="D38" s="231"/>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53" t="s">
        <v>4</v>
      </c>
      <c r="AI38" s="253"/>
      <c r="AJ38" s="253"/>
      <c r="AK38" s="253"/>
    </row>
    <row r="39" spans="1:37" ht="16.5">
      <c r="A39" s="3"/>
      <c r="B39" s="4"/>
      <c r="C39" s="3"/>
      <c r="D39" s="3"/>
      <c r="E39" s="5"/>
      <c r="F39" s="3"/>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34.5" customHeight="1">
      <c r="A40" s="254" t="s">
        <v>5</v>
      </c>
      <c r="B40" s="254"/>
      <c r="C40" s="255" t="s">
        <v>99</v>
      </c>
      <c r="D40" s="255"/>
      <c r="E40" s="255"/>
      <c r="F40" s="255"/>
      <c r="G40" s="255"/>
      <c r="H40" s="256" t="s">
        <v>7</v>
      </c>
      <c r="I40" s="256"/>
      <c r="J40" s="325" t="s">
        <v>100</v>
      </c>
      <c r="K40" s="325"/>
      <c r="L40" s="325"/>
      <c r="M40" s="325"/>
      <c r="N40" s="325"/>
      <c r="O40" s="256" t="s">
        <v>9</v>
      </c>
      <c r="P40" s="256"/>
      <c r="Q40" s="306" t="s">
        <v>101</v>
      </c>
      <c r="R40" s="307"/>
      <c r="S40" s="307"/>
      <c r="T40" s="307"/>
      <c r="U40" s="307"/>
      <c r="V40" s="307"/>
      <c r="W40" s="307"/>
      <c r="X40" s="307"/>
      <c r="Y40" s="307"/>
      <c r="Z40" s="307"/>
      <c r="AA40" s="307"/>
      <c r="AB40" s="307"/>
      <c r="AC40" s="307"/>
      <c r="AD40" s="307"/>
      <c r="AE40" s="308"/>
      <c r="AF40" s="152" t="s">
        <v>11</v>
      </c>
      <c r="AG40" s="326" t="s">
        <v>102</v>
      </c>
      <c r="AH40" s="326"/>
      <c r="AI40" s="326"/>
      <c r="AJ40" s="326"/>
      <c r="AK40" s="326"/>
    </row>
    <row r="41" spans="1:37">
      <c r="A41" s="245" t="s">
        <v>13</v>
      </c>
      <c r="B41" s="245"/>
      <c r="C41" s="245"/>
      <c r="D41" s="245"/>
      <c r="E41" s="245"/>
      <c r="F41" s="245"/>
      <c r="G41" s="245"/>
      <c r="H41" s="248" t="s">
        <v>14</v>
      </c>
      <c r="I41" s="248"/>
      <c r="J41" s="248"/>
      <c r="K41" s="248"/>
      <c r="L41" s="248"/>
      <c r="M41" s="248"/>
      <c r="N41" s="248"/>
      <c r="O41" s="261" t="s">
        <v>15</v>
      </c>
      <c r="P41" s="261"/>
      <c r="Q41" s="261"/>
      <c r="R41" s="261"/>
      <c r="S41" s="261"/>
      <c r="T41" s="261"/>
      <c r="U41" s="261"/>
      <c r="V41" s="261"/>
      <c r="W41" s="261"/>
      <c r="X41" s="261"/>
      <c r="Y41" s="262" t="s">
        <v>16</v>
      </c>
      <c r="Z41" s="262"/>
      <c r="AA41" s="262"/>
      <c r="AB41" s="262"/>
      <c r="AC41" s="262"/>
      <c r="AD41" s="262"/>
      <c r="AE41" s="262"/>
      <c r="AF41" s="243" t="s">
        <v>17</v>
      </c>
      <c r="AG41" s="243"/>
      <c r="AH41" s="243"/>
      <c r="AI41" s="243"/>
      <c r="AJ41" s="243"/>
      <c r="AK41" s="243"/>
    </row>
    <row r="42" spans="1:37">
      <c r="A42" s="244" t="s">
        <v>18</v>
      </c>
      <c r="B42" s="245" t="s">
        <v>19</v>
      </c>
      <c r="C42" s="246" t="s">
        <v>20</v>
      </c>
      <c r="D42" s="246" t="s">
        <v>21</v>
      </c>
      <c r="E42" s="245" t="s">
        <v>22</v>
      </c>
      <c r="F42" s="246" t="s">
        <v>23</v>
      </c>
      <c r="G42" s="246" t="s">
        <v>24</v>
      </c>
      <c r="H42" s="247" t="s">
        <v>25</v>
      </c>
      <c r="I42" s="248" t="s">
        <v>26</v>
      </c>
      <c r="J42" s="247" t="s">
        <v>27</v>
      </c>
      <c r="K42" s="247" t="s">
        <v>28</v>
      </c>
      <c r="L42" s="247" t="s">
        <v>29</v>
      </c>
      <c r="M42" s="248" t="s">
        <v>26</v>
      </c>
      <c r="N42" s="247" t="s">
        <v>30</v>
      </c>
      <c r="O42" s="249" t="s">
        <v>31</v>
      </c>
      <c r="P42" s="237" t="s">
        <v>32</v>
      </c>
      <c r="Q42" s="251" t="s">
        <v>33</v>
      </c>
      <c r="R42" s="237" t="s">
        <v>34</v>
      </c>
      <c r="S42" s="237" t="s">
        <v>35</v>
      </c>
      <c r="T42" s="237"/>
      <c r="U42" s="237"/>
      <c r="V42" s="237"/>
      <c r="W42" s="237"/>
      <c r="X42" s="237"/>
      <c r="Y42" s="236" t="s">
        <v>36</v>
      </c>
      <c r="Z42" s="236" t="s">
        <v>37</v>
      </c>
      <c r="AA42" s="236" t="s">
        <v>26</v>
      </c>
      <c r="AB42" s="236" t="s">
        <v>38</v>
      </c>
      <c r="AC42" s="236" t="s">
        <v>26</v>
      </c>
      <c r="AD42" s="236" t="s">
        <v>39</v>
      </c>
      <c r="AE42" s="236" t="s">
        <v>40</v>
      </c>
      <c r="AF42" s="250" t="s">
        <v>17</v>
      </c>
      <c r="AG42" s="250" t="s">
        <v>41</v>
      </c>
      <c r="AH42" s="250" t="s">
        <v>42</v>
      </c>
      <c r="AI42" s="250" t="s">
        <v>43</v>
      </c>
      <c r="AJ42" s="250" t="s">
        <v>44</v>
      </c>
      <c r="AK42" s="250" t="s">
        <v>45</v>
      </c>
    </row>
    <row r="43" spans="1:37" ht="81.75">
      <c r="A43" s="244"/>
      <c r="B43" s="245"/>
      <c r="C43" s="246"/>
      <c r="D43" s="246"/>
      <c r="E43" s="245"/>
      <c r="F43" s="246"/>
      <c r="G43" s="246"/>
      <c r="H43" s="247"/>
      <c r="I43" s="248"/>
      <c r="J43" s="247"/>
      <c r="K43" s="247"/>
      <c r="L43" s="248"/>
      <c r="M43" s="248"/>
      <c r="N43" s="247"/>
      <c r="O43" s="249"/>
      <c r="P43" s="237"/>
      <c r="Q43" s="252"/>
      <c r="R43" s="237"/>
      <c r="S43" s="7" t="s">
        <v>46</v>
      </c>
      <c r="T43" s="7" t="s">
        <v>47</v>
      </c>
      <c r="U43" s="7" t="s">
        <v>48</v>
      </c>
      <c r="V43" s="7" t="s">
        <v>49</v>
      </c>
      <c r="W43" s="7" t="s">
        <v>50</v>
      </c>
      <c r="X43" s="7" t="s">
        <v>51</v>
      </c>
      <c r="Y43" s="236"/>
      <c r="Z43" s="236"/>
      <c r="AA43" s="236"/>
      <c r="AB43" s="236"/>
      <c r="AC43" s="236"/>
      <c r="AD43" s="236"/>
      <c r="AE43" s="236"/>
      <c r="AF43" s="250"/>
      <c r="AG43" s="250"/>
      <c r="AH43" s="250"/>
      <c r="AI43" s="250"/>
      <c r="AJ43" s="250"/>
      <c r="AK43" s="250"/>
    </row>
    <row r="44" spans="1:37" ht="330.75">
      <c r="A44" s="310">
        <v>1</v>
      </c>
      <c r="B44" s="232" t="s">
        <v>52</v>
      </c>
      <c r="C44" s="312" t="s">
        <v>103</v>
      </c>
      <c r="D44" s="312" t="s">
        <v>104</v>
      </c>
      <c r="E44" s="305" t="s">
        <v>105</v>
      </c>
      <c r="F44" s="232" t="s">
        <v>56</v>
      </c>
      <c r="G44" s="273" t="s">
        <v>106</v>
      </c>
      <c r="H44" s="275" t="b">
        <f>IF(G44="","",IF('[3]Mapa final'!G34='[3]Tabla probabilidad'!$C$4,"MUY BAJA",IF('[3]Mapa final'!G34='[3]Tabla probabilidad'!$C$5,"BAJA",IF('[3]Mapa final'!G34='[3]Tabla probabilidad'!$C$6,"MEDIA",IF('[3]Mapa final'!G34='[3]Tabla probabilidad'!$C$7,"ALTA",IF('[3]Mapa final'!G34='[3]Tabla probabilidad'!$C$8,"MUY ALTA"))))))</f>
        <v>0</v>
      </c>
      <c r="I44" s="277">
        <f t="shared" ref="I44" si="29">IF(H44="","",IF(H44="Muy Baja",0.2,IF(H44="Baja",0.4,IF(H44="Media",0.6,IF(H44="Alta",0.8,IF(H44="Muy Alta",1,))))))</f>
        <v>0</v>
      </c>
      <c r="J44" s="224" t="s">
        <v>77</v>
      </c>
      <c r="K44" s="225" t="str">
        <f>IF(J44="","",IF(NOT(ISERROR(MATCH(J44,'[3]Tabla Impacto'!$B$37:$B$39,0))),'[3]Tabla Impacto'!$F$37&amp;"Por favor no seleccionar los criterios de impacto(Afectación Económica o presupuestal y Pérdida Reputacional)",J44))</f>
        <v xml:space="preserve">     El riesgo afecta la imagen de la entidad con algunos usuarios de relevancia frente al logro de los objetivos</v>
      </c>
      <c r="L44" s="226" t="str">
        <f>IF(OR(J44='[3]Tabla Impacto'!$F$25,J44='[3]Tabla Impacto'!$F$31),"Leve",IF(OR(J44='[3]Tabla Impacto'!$F$26,J44='[3]Tabla Impacto'!$F$32),"Menor",IF(OR(J44='[3]Tabla Impacto'!$F$27,J44='[3]Tabla Impacto'!$F$33,J44='[3]Tabla Impacto'!$F$37),"Moderado",IF(OR(J44='[3]Tabla Impacto'!$F$28,J44='[3]Tabla Impacto'!$F$34,J44='[3]Tabla Impacto'!$F$38),"Mayor",IF(OR(J44='[3]Tabla Impacto'!$F$29,J44='[3]Tabla Impacto'!$F$35,J44='[3]Tabla Impacto'!$F$39),"Catastrófico","")))))</f>
        <v>Moderado</v>
      </c>
      <c r="M44" s="225">
        <f t="shared" ref="M44" si="30">IF(L44="","",IF(L44="Leve",0.2,IF(L44="Menor",0.4,IF(L44="Moderado",0.6,IF(L44="Mayor",0.8,IF(L44="Catastrófico",1,))))))</f>
        <v>0.6</v>
      </c>
      <c r="N44" s="227" t="str">
        <f t="shared" ref="N44" si="31">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8">
        <v>1</v>
      </c>
      <c r="P44" s="9" t="s">
        <v>107</v>
      </c>
      <c r="Q44" s="10" t="s">
        <v>108</v>
      </c>
      <c r="R44" s="11" t="str">
        <f t="shared" ref="R44:R53" si="32">IF(OR(S44="Preventivo",S44="Detectivo"),"Probabilidad",IF(S44="Correctivo","Impacto",""))</f>
        <v>Probabilidad</v>
      </c>
      <c r="S44" s="12" t="s">
        <v>69</v>
      </c>
      <c r="T44" s="12" t="s">
        <v>62</v>
      </c>
      <c r="U44" s="13" t="str">
        <f>IF(AND(S44="Preventivo",T44="Automático"),"50%",IF(AND(S44="Preventivo",T44="Manual"),"40%",IF(AND(S44="Detectivo",T44="Automático"),"40%",IF(AND(S44="Detectivo",T44="Manual"),"30%",IF(AND(S44="Correctivo",T44="Automático"),"35%",IF(AND(S44="Correctivo",T44="Manual"),"25%",""))))))</f>
        <v>30%</v>
      </c>
      <c r="V44" s="12" t="s">
        <v>70</v>
      </c>
      <c r="W44" s="12" t="s">
        <v>64</v>
      </c>
      <c r="X44" s="12" t="s">
        <v>65</v>
      </c>
      <c r="Y44" s="14">
        <f>IFERROR(IF(R44="Probabilidad",(I44-(+I44*U44)),IF(R44="Impacto",I44,"")),"")</f>
        <v>0</v>
      </c>
      <c r="Z44" s="15" t="str">
        <f>IFERROR(IF(Y44="","",IF(Y44&lt;=0.2,"Muy Baja",IF(Y44&lt;=0.4,"Baja",IF(Y44&lt;=0.6,"Media",IF(Y44&lt;=0.8,"Alta","Muy Alta"))))),"")</f>
        <v>Muy Baja</v>
      </c>
      <c r="AA44" s="13">
        <f>+Y44</f>
        <v>0</v>
      </c>
      <c r="AB44" s="15" t="str">
        <f>IFERROR(IF(AC44="","",IF(AC44&lt;=0.2,"Leve",IF(AC44&lt;=0.4,"Menor",IF(AC44&lt;=0.6,"Moderado",IF(AC44&lt;=0.8,"Mayor","Catastrófico"))))),"")</f>
        <v>Moderado</v>
      </c>
      <c r="AC44" s="13">
        <f>IFERROR(IF(R44="Impacto",(M44-(+M44*U44)),IF(R44="Probabilidad",M44,"")),"")</f>
        <v>0.6</v>
      </c>
      <c r="AD44" s="16" t="str">
        <f>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2" t="s">
        <v>66</v>
      </c>
      <c r="AF44" s="299"/>
      <c r="AG44" s="299"/>
      <c r="AH44" s="301"/>
      <c r="AI44" s="301"/>
      <c r="AJ44" s="301"/>
      <c r="AK44" s="12"/>
    </row>
    <row r="45" spans="1:37" ht="362.25">
      <c r="A45" s="310"/>
      <c r="B45" s="232"/>
      <c r="C45" s="312"/>
      <c r="D45" s="312"/>
      <c r="E45" s="305"/>
      <c r="F45" s="232"/>
      <c r="G45" s="274"/>
      <c r="H45" s="276"/>
      <c r="I45" s="278"/>
      <c r="J45" s="224"/>
      <c r="K45" s="225">
        <f ca="1">IF(NOT(ISERROR(MATCH(J45,_xlfn.ANCHORARRAY(E47),0))),#REF!&amp;"Por favor no seleccionar los criterios de impacto",J45)</f>
        <v>0</v>
      </c>
      <c r="L45" s="226"/>
      <c r="M45" s="225"/>
      <c r="N45" s="227"/>
      <c r="O45" s="8">
        <v>2</v>
      </c>
      <c r="P45" s="9" t="s">
        <v>109</v>
      </c>
      <c r="Q45" s="10" t="s">
        <v>110</v>
      </c>
      <c r="R45" s="11" t="str">
        <f t="shared" si="32"/>
        <v>Probabilidad</v>
      </c>
      <c r="S45" s="12" t="s">
        <v>69</v>
      </c>
      <c r="T45" s="12" t="s">
        <v>62</v>
      </c>
      <c r="U45" s="13" t="str">
        <f t="shared" ref="U45" si="33">IF(AND(S45="Preventivo",T45="Automático"),"50%",IF(AND(S45="Preventivo",T45="Manual"),"40%",IF(AND(S45="Detectivo",T45="Automático"),"40%",IF(AND(S45="Detectivo",T45="Manual"),"30%",IF(AND(S45="Correctivo",T45="Automático"),"35%",IF(AND(S45="Correctivo",T45="Manual"),"25%",""))))))</f>
        <v>30%</v>
      </c>
      <c r="V45" s="12" t="s">
        <v>70</v>
      </c>
      <c r="W45" s="12" t="s">
        <v>64</v>
      </c>
      <c r="X45" s="12" t="s">
        <v>65</v>
      </c>
      <c r="Y45" s="14">
        <f>IFERROR(IF(AND(R44="Probabilidad",R45="Probabilidad"),(AA44-(+AA44*U45)),IF(R45="Probabilidad",(I44-(+I44*U45)),IF(R45="Impacto",AA44,""))),"")</f>
        <v>0</v>
      </c>
      <c r="Z45" s="15" t="str">
        <f t="shared" ref="Z45:Z51" si="34">IFERROR(IF(Y45="","",IF(Y45&lt;=0.2,"Muy Baja",IF(Y45&lt;=0.4,"Baja",IF(Y45&lt;=0.6,"Media",IF(Y45&lt;=0.8,"Alta","Muy Alta"))))),"")</f>
        <v>Muy Baja</v>
      </c>
      <c r="AA45" s="13">
        <f t="shared" ref="AA45" si="35">+Y45</f>
        <v>0</v>
      </c>
      <c r="AB45" s="15" t="str">
        <f t="shared" ref="AB45:AB51" si="36">IFERROR(IF(AC45="","",IF(AC45&lt;=0.2,"Leve",IF(AC45&lt;=0.4,"Menor",IF(AC45&lt;=0.6,"Moderado",IF(AC45&lt;=0.8,"Mayor","Catastrófico"))))),"")</f>
        <v>Moderado</v>
      </c>
      <c r="AC45" s="13">
        <f>IFERROR(IF(AND(R44="Impacto",R45="Impacto"),(AC44-(+AC44*U45)),IF(R45="Impacto",($M$16-(+$M$16*U45)),IF(R45="Probabilidad",AC44,""))),"")</f>
        <v>0.6</v>
      </c>
      <c r="AD45" s="16" t="str">
        <f t="shared" ref="AD45" si="37">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Moderado</v>
      </c>
      <c r="AE45" s="12" t="s">
        <v>66</v>
      </c>
      <c r="AF45" s="300"/>
      <c r="AG45" s="300"/>
      <c r="AH45" s="302"/>
      <c r="AI45" s="302"/>
      <c r="AJ45" s="302"/>
      <c r="AK45" s="12"/>
    </row>
    <row r="46" spans="1:37" ht="189">
      <c r="A46" s="310">
        <v>2</v>
      </c>
      <c r="B46" s="232" t="s">
        <v>71</v>
      </c>
      <c r="C46" s="312" t="s">
        <v>111</v>
      </c>
      <c r="D46" s="312" t="s">
        <v>112</v>
      </c>
      <c r="E46" s="305" t="s">
        <v>113</v>
      </c>
      <c r="F46" s="232" t="s">
        <v>75</v>
      </c>
      <c r="G46" s="273" t="s">
        <v>57</v>
      </c>
      <c r="H46" s="275" t="b">
        <f>IF(G46="","",IF('[3]Mapa final'!G36='[3]Tabla probabilidad'!$C$4,"MUY BAJA",IF('[3]Mapa final'!G36='[3]Tabla probabilidad'!$C$5,"BAJA",IF('[3]Mapa final'!G36='[3]Tabla probabilidad'!$C$6,"MEDIA",IF('[3]Mapa final'!G36='[3]Tabla probabilidad'!$C$7,"ALTA",IF('[3]Mapa final'!G36='[3]Tabla probabilidad'!$C$8,"MUY ALTA"))))))</f>
        <v>0</v>
      </c>
      <c r="I46" s="277">
        <f t="shared" ref="I46" si="38">IF(H46="","",IF(H46="Muy Baja",0.2,IF(H46="Baja",0.4,IF(H46="Media",0.6,IF(H46="Alta",0.8,IF(H46="Muy Alta",1,))))))</f>
        <v>0</v>
      </c>
      <c r="J46" s="224" t="s">
        <v>77</v>
      </c>
      <c r="K46" s="225" t="str">
        <f>IF(J46="","",IF(NOT(ISERROR(MATCH(J46,'[3]Tabla Impacto'!$B$37:$B$39,0))),'[3]Tabla Impacto'!$F$37&amp;"Por favor no seleccionar los criterios de impacto(Afectación Económica o presupuestal y Pérdida Reputacional)",J46))</f>
        <v xml:space="preserve">     El riesgo afecta la imagen de la entidad con algunos usuarios de relevancia frente al logro de los objetivos</v>
      </c>
      <c r="L46" s="226" t="str">
        <f>IF(OR(J46='[3]Tabla Impacto'!$F$25,J46='[3]Tabla Impacto'!$F$31),"Leve",IF(OR(J46='[3]Tabla Impacto'!$F$26,J46='[3]Tabla Impacto'!$F$32),"Menor",IF(OR(J46='[3]Tabla Impacto'!$F$27,J46='[3]Tabla Impacto'!$F$33,J46='[3]Tabla Impacto'!$F$37),"Moderado",IF(OR(J46='[3]Tabla Impacto'!$F$28,J46='[3]Tabla Impacto'!$F$34,J46='[3]Tabla Impacto'!$F$38),"Mayor",IF(OR(J46='[3]Tabla Impacto'!$F$29,J46='[3]Tabla Impacto'!$F$35,J46='[3]Tabla Impacto'!$F$39),"Catastrófico","")))))</f>
        <v>Moderado</v>
      </c>
      <c r="M46" s="225">
        <f t="shared" ref="M46" si="39">IF(L46="","",IF(L46="Leve",0.2,IF(L46="Menor",0.4,IF(L46="Moderado",0.6,IF(L46="Mayor",0.8,IF(L46="Catastrófico",1,))))))</f>
        <v>0.6</v>
      </c>
      <c r="N46" s="227" t="str">
        <f t="shared" ref="N46" si="40">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8">
        <v>1</v>
      </c>
      <c r="P46" s="9" t="s">
        <v>114</v>
      </c>
      <c r="Q46" s="10" t="s">
        <v>115</v>
      </c>
      <c r="R46" s="11" t="str">
        <f t="shared" si="32"/>
        <v>Probabilidad</v>
      </c>
      <c r="S46" s="12" t="s">
        <v>69</v>
      </c>
      <c r="T46" s="12" t="s">
        <v>62</v>
      </c>
      <c r="U46" s="13" t="str">
        <f>IF(AND(S46="Preventivo",T46="Automático"),"50%",IF(AND(S46="Preventivo",T46="Manual"),"40%",IF(AND(S46="Detectivo",T46="Automático"),"40%",IF(AND(S46="Detectivo",T46="Manual"),"30%",IF(AND(S46="Correctivo",T46="Automático"),"35%",IF(AND(S46="Correctivo",T46="Manual"),"25%",""))))))</f>
        <v>30%</v>
      </c>
      <c r="V46" s="12" t="s">
        <v>70</v>
      </c>
      <c r="W46" s="12" t="s">
        <v>64</v>
      </c>
      <c r="X46" s="12" t="s">
        <v>65</v>
      </c>
      <c r="Y46" s="14">
        <f>IFERROR(IF(R46="Probabilidad",(I46-(+I46*U46)),IF(R46="Impacto",I46,"")),"")</f>
        <v>0</v>
      </c>
      <c r="Z46" s="15" t="str">
        <f>IFERROR(IF(Y46="","",IF(Y46&lt;=0.2,"Muy Baja",IF(Y46&lt;=0.4,"Baja",IF(Y46&lt;=0.6,"Media",IF(Y46&lt;=0.8,"Alta","Muy Alta"))))),"")</f>
        <v>Muy Baja</v>
      </c>
      <c r="AA46" s="13">
        <f>+Y46</f>
        <v>0</v>
      </c>
      <c r="AB46" s="15" t="str">
        <f>IFERROR(IF(AC46="","",IF(AC46&lt;=0.2,"Leve",IF(AC46&lt;=0.4,"Menor",IF(AC46&lt;=0.6,"Moderado",IF(AC46&lt;=0.8,"Mayor","Catastrófico"))))),"")</f>
        <v>Moderado</v>
      </c>
      <c r="AC46" s="13">
        <f>IFERROR(IF(R46="Impacto",(M46-(+M46*U46)),IF(R46="Probabilidad",M46,"")),"")</f>
        <v>0.6</v>
      </c>
      <c r="AD46" s="16"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2" t="s">
        <v>66</v>
      </c>
      <c r="AF46" s="299"/>
      <c r="AG46" s="299"/>
      <c r="AH46" s="301"/>
      <c r="AI46" s="301"/>
      <c r="AJ46" s="301"/>
      <c r="AK46" s="12"/>
    </row>
    <row r="47" spans="1:37" ht="15.75">
      <c r="A47" s="310"/>
      <c r="B47" s="232"/>
      <c r="C47" s="312"/>
      <c r="D47" s="312"/>
      <c r="E47" s="305"/>
      <c r="F47" s="232"/>
      <c r="G47" s="274"/>
      <c r="H47" s="276"/>
      <c r="I47" s="278"/>
      <c r="J47" s="224"/>
      <c r="K47" s="225">
        <f ca="1">IF(NOT(ISERROR(MATCH(J47,_xlfn.ANCHORARRAY(E49),0))),#REF!&amp;"Por favor no seleccionar los criterios de impacto",J47)</f>
        <v>0</v>
      </c>
      <c r="L47" s="226"/>
      <c r="M47" s="225"/>
      <c r="N47" s="227"/>
      <c r="O47" s="8">
        <v>2</v>
      </c>
      <c r="P47" s="9"/>
      <c r="Q47" s="10"/>
      <c r="R47" s="11" t="str">
        <f t="shared" si="32"/>
        <v/>
      </c>
      <c r="S47" s="32"/>
      <c r="T47" s="32"/>
      <c r="U47" s="13" t="str">
        <f t="shared" ref="U47" si="41">IF(AND(S47="Preventivo",T47="Automático"),"50%",IF(AND(S47="Preventivo",T47="Manual"),"40%",IF(AND(S47="Detectivo",T47="Automático"),"40%",IF(AND(S47="Detectivo",T47="Manual"),"30%",IF(AND(S47="Correctivo",T47="Automático"),"35%",IF(AND(S47="Correctivo",T47="Manual"),"25%",""))))))</f>
        <v/>
      </c>
      <c r="V47" s="32"/>
      <c r="W47" s="32"/>
      <c r="X47" s="32"/>
      <c r="Y47" s="14" t="str">
        <f>IFERROR(IF(AND(R46="Probabilidad",R47="Probabilidad"),(AA46-(+AA46*U47)),IF(R47="Probabilidad",(I46-(+I46*U47)),IF(R47="Impacto",AA46,""))),"")</f>
        <v/>
      </c>
      <c r="Z47" s="15" t="str">
        <f t="shared" si="34"/>
        <v/>
      </c>
      <c r="AA47" s="13" t="str">
        <f t="shared" ref="AA47" si="42">+Y47</f>
        <v/>
      </c>
      <c r="AB47" s="15" t="str">
        <f t="shared" si="36"/>
        <v/>
      </c>
      <c r="AC47" s="13" t="str">
        <f>IFERROR(IF(AND(R46="Impacto",R47="Impacto"),(AC44-(+AC44*U47)),IF(R47="Impacto",($M$18-(+$M$18*U47)),IF(R47="Probabilidad",AC44,""))),"")</f>
        <v/>
      </c>
      <c r="AD47" s="16" t="str">
        <f t="shared" ref="AD47"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32"/>
      <c r="AF47" s="300"/>
      <c r="AG47" s="300"/>
      <c r="AH47" s="302"/>
      <c r="AI47" s="302"/>
      <c r="AJ47" s="302"/>
      <c r="AK47" s="12"/>
    </row>
    <row r="48" spans="1:37" ht="378">
      <c r="A48" s="310">
        <v>3</v>
      </c>
      <c r="B48" s="232" t="s">
        <v>71</v>
      </c>
      <c r="C48" s="312" t="s">
        <v>116</v>
      </c>
      <c r="D48" s="312" t="s">
        <v>117</v>
      </c>
      <c r="E48" s="305" t="s">
        <v>118</v>
      </c>
      <c r="F48" s="232" t="s">
        <v>119</v>
      </c>
      <c r="G48" s="273" t="s">
        <v>85</v>
      </c>
      <c r="H48" s="275" t="b">
        <f>IF(G48="","",IF('[3]Mapa final'!G38='[3]Tabla probabilidad'!$C$4,"MUY BAJA",IF('[3]Mapa final'!G38='[3]Tabla probabilidad'!$C$5,"BAJA",IF('[3]Mapa final'!G38='[3]Tabla probabilidad'!$C$6,"MEDIA",IF('[3]Mapa final'!G38='[3]Tabla probabilidad'!$C$7,"ALTA",IF('[3]Mapa final'!G38='[3]Tabla probabilidad'!$C$8,"MUY ALTA"))))))</f>
        <v>0</v>
      </c>
      <c r="I48" s="277">
        <f t="shared" ref="I48" si="44">IF(H48="","",IF(H48="Muy Baja",0.2,IF(H48="Baja",0.4,IF(H48="Media",0.6,IF(H48="Alta",0.8,IF(H48="Muy Alta",1,))))))</f>
        <v>0</v>
      </c>
      <c r="J48" s="224" t="s">
        <v>77</v>
      </c>
      <c r="K48" s="225" t="str">
        <f>IF(J48="","",IF(NOT(ISERROR(MATCH(J48,'[3]Tabla Impacto'!$B$37:$B$39,0))),'[3]Tabla Impacto'!$F$37&amp;"Por favor no seleccionar los criterios de impacto(Afectación Económica o presupuestal y Pérdida Reputacional)",J48))</f>
        <v xml:space="preserve">     El riesgo afecta la imagen de la entidad con algunos usuarios de relevancia frente al logro de los objetivos</v>
      </c>
      <c r="L48" s="226" t="str">
        <f>IF(OR(J48='[3]Tabla Impacto'!$F$25,J48='[3]Tabla Impacto'!$F$31),"Leve",IF(OR(J48='[3]Tabla Impacto'!$F$26,J48='[3]Tabla Impacto'!$F$32),"Menor",IF(OR(J48='[3]Tabla Impacto'!$F$27,J48='[3]Tabla Impacto'!$F$33,J48='[3]Tabla Impacto'!$F$37),"Moderado",IF(OR(J48='[3]Tabla Impacto'!$F$28,J48='[3]Tabla Impacto'!$F$34,J48='[3]Tabla Impacto'!$F$38),"Mayor",IF(OR(J48='[3]Tabla Impacto'!$F$29,J48='[3]Tabla Impacto'!$F$35,J48='[3]Tabla Impacto'!$F$39),"Catastrófico","")))))</f>
        <v>Moderado</v>
      </c>
      <c r="M48" s="225">
        <f t="shared" ref="M48" si="45">IF(L48="","",IF(L48="Leve",0.2,IF(L48="Menor",0.4,IF(L48="Moderado",0.6,IF(L48="Mayor",0.8,IF(L48="Catastrófico",1,))))))</f>
        <v>0.6</v>
      </c>
      <c r="N48" s="227" t="str">
        <f t="shared" ref="N48" si="46">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8">
        <v>1</v>
      </c>
      <c r="P48" s="9" t="s">
        <v>120</v>
      </c>
      <c r="Q48" s="10" t="s">
        <v>121</v>
      </c>
      <c r="R48" s="11" t="str">
        <f t="shared" si="32"/>
        <v>Impacto</v>
      </c>
      <c r="S48" s="12" t="s">
        <v>122</v>
      </c>
      <c r="T48" s="12" t="s">
        <v>62</v>
      </c>
      <c r="U48" s="13" t="str">
        <f>IF(AND(S48="Preventivo",T48="Automático"),"50%",IF(AND(S48="Preventivo",T48="Manual"),"40%",IF(AND(S48="Detectivo",T48="Automático"),"40%",IF(AND(S48="Detectivo",T48="Manual"),"30%",IF(AND(S48="Correctivo",T48="Automático"),"35%",IF(AND(S48="Correctivo",T48="Manual"),"25%",""))))))</f>
        <v>25%</v>
      </c>
      <c r="V48" s="12" t="s">
        <v>63</v>
      </c>
      <c r="W48" s="12" t="s">
        <v>123</v>
      </c>
      <c r="X48" s="12" t="s">
        <v>65</v>
      </c>
      <c r="Y48" s="14">
        <f>IFERROR(IF(R48="Probabilidad",(I48-(+I48*U48)),IF(R48="Impacto",I48,"")),"")</f>
        <v>0</v>
      </c>
      <c r="Z48" s="15" t="str">
        <f>IFERROR(IF(Y48="","",IF(Y48&lt;=0.2,"Muy Baja",IF(Y48&lt;=0.4,"Baja",IF(Y48&lt;=0.6,"Media",IF(Y48&lt;=0.8,"Alta","Muy Alta"))))),"")</f>
        <v>Muy Baja</v>
      </c>
      <c r="AA48" s="13">
        <f>+Y48</f>
        <v>0</v>
      </c>
      <c r="AB48" s="15" t="str">
        <f>IFERROR(IF(AC48="","",IF(AC48&lt;=0.2,"Leve",IF(AC48&lt;=0.4,"Menor",IF(AC48&lt;=0.6,"Moderado",IF(AC48&lt;=0.8,"Mayor","Catastrófico"))))),"")</f>
        <v>Moderado</v>
      </c>
      <c r="AC48" s="13">
        <f>IFERROR(IF(R48="Impacto",(M48-(+M48*U48)),IF(R48="Probabilidad",M48,"")),"")</f>
        <v>0.44999999999999996</v>
      </c>
      <c r="AD48" s="16"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12" t="s">
        <v>66</v>
      </c>
      <c r="AF48" s="299"/>
      <c r="AG48" s="299"/>
      <c r="AH48" s="301"/>
      <c r="AI48" s="301"/>
      <c r="AJ48" s="301"/>
      <c r="AK48" s="12"/>
    </row>
    <row r="49" spans="1:37" ht="409.5">
      <c r="A49" s="310"/>
      <c r="B49" s="232"/>
      <c r="C49" s="312"/>
      <c r="D49" s="312"/>
      <c r="E49" s="305"/>
      <c r="F49" s="232"/>
      <c r="G49" s="274"/>
      <c r="H49" s="276"/>
      <c r="I49" s="278"/>
      <c r="J49" s="224"/>
      <c r="K49" s="225">
        <f ca="1">IF(NOT(ISERROR(MATCH(J49,_xlfn.ANCHORARRAY(#REF!),0))),#REF!&amp;"Por favor no seleccionar los criterios de impacto",J49)</f>
        <v>0</v>
      </c>
      <c r="L49" s="226"/>
      <c r="M49" s="225"/>
      <c r="N49" s="227"/>
      <c r="O49" s="8">
        <v>2</v>
      </c>
      <c r="P49" s="9" t="s">
        <v>124</v>
      </c>
      <c r="Q49" s="10" t="s">
        <v>125</v>
      </c>
      <c r="R49" s="11" t="str">
        <f t="shared" si="32"/>
        <v>Impacto</v>
      </c>
      <c r="S49" s="12" t="s">
        <v>122</v>
      </c>
      <c r="T49" s="12" t="s">
        <v>62</v>
      </c>
      <c r="U49" s="13" t="str">
        <f t="shared" ref="U49" si="47">IF(AND(S49="Preventivo",T49="Automático"),"50%",IF(AND(S49="Preventivo",T49="Manual"),"40%",IF(AND(S49="Detectivo",T49="Automático"),"40%",IF(AND(S49="Detectivo",T49="Manual"),"30%",IF(AND(S49="Correctivo",T49="Automático"),"35%",IF(AND(S49="Correctivo",T49="Manual"),"25%",""))))))</f>
        <v>25%</v>
      </c>
      <c r="V49" s="12" t="s">
        <v>63</v>
      </c>
      <c r="W49" s="12" t="s">
        <v>123</v>
      </c>
      <c r="X49" s="12" t="s">
        <v>65</v>
      </c>
      <c r="Y49" s="22">
        <f>IFERROR(IF(AND(R48="Probabilidad",R49="Probabilidad"),(AA48-(+AA48*U49)),IF(R49="Probabilidad",(I48-(+I48*U49)),IF(R49="Impacto",AA48,""))),"")</f>
        <v>0</v>
      </c>
      <c r="Z49" s="15" t="str">
        <f t="shared" si="34"/>
        <v>Muy Baja</v>
      </c>
      <c r="AA49" s="13">
        <f t="shared" ref="AA49" si="48">+Y49</f>
        <v>0</v>
      </c>
      <c r="AB49" s="15" t="str">
        <f t="shared" si="36"/>
        <v>Moderado</v>
      </c>
      <c r="AC49" s="13">
        <f>IFERROR(IF(AND(R48="Impacto",R49="Impacto"),(AC46-(+AC46*U49)),IF(R49="Impacto",($M$20-(+$M$20*U49)),IF(R49="Probabilidad",AC46,""))),"")</f>
        <v>0.44999999999999996</v>
      </c>
      <c r="AD49" s="16" t="str">
        <f t="shared" ref="AD49" si="49">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12" t="s">
        <v>66</v>
      </c>
      <c r="AF49" s="300"/>
      <c r="AG49" s="300"/>
      <c r="AH49" s="302"/>
      <c r="AI49" s="302"/>
      <c r="AJ49" s="302"/>
      <c r="AK49" s="12"/>
    </row>
    <row r="50" spans="1:37" ht="252">
      <c r="A50" s="310">
        <v>4</v>
      </c>
      <c r="B50" s="232" t="s">
        <v>71</v>
      </c>
      <c r="C50" s="312" t="s">
        <v>116</v>
      </c>
      <c r="D50" s="312" t="s">
        <v>126</v>
      </c>
      <c r="E50" s="305" t="s">
        <v>127</v>
      </c>
      <c r="F50" s="232" t="s">
        <v>56</v>
      </c>
      <c r="G50" s="273" t="s">
        <v>85</v>
      </c>
      <c r="H50" s="275" t="b">
        <f>IF(G50="","",IF('[3]Mapa final'!G40='[3]Tabla probabilidad'!$C$4,"MUY BAJA",IF('[3]Mapa final'!G40='[3]Tabla probabilidad'!$C$5,"BAJA",IF('[3]Mapa final'!G40='[3]Tabla probabilidad'!$C$6,"MEDIA",IF('[3]Mapa final'!G40='[3]Tabla probabilidad'!$C$7,"ALTA",IF('[3]Mapa final'!G40='[3]Tabla probabilidad'!$C$8,"MUY ALTA"))))))</f>
        <v>0</v>
      </c>
      <c r="I50" s="277">
        <f t="shared" ref="I50" si="50">IF(H50="","",IF(H50="Muy Baja",0.2,IF(H50="Baja",0.4,IF(H50="Media",0.6,IF(H50="Alta",0.8,IF(H50="Muy Alta",1,))))))</f>
        <v>0</v>
      </c>
      <c r="J50" s="224" t="s">
        <v>77</v>
      </c>
      <c r="K50" s="225" t="str">
        <f>IF(J50="","",IF(NOT(ISERROR(MATCH(J50,'[3]Tabla Impacto'!$B$37:$B$39,0))),'[3]Tabla Impacto'!$F$37&amp;"Por favor no seleccionar los criterios de impacto(Afectación Económica o presupuestal y Pérdida Reputacional)",J50))</f>
        <v xml:space="preserve">     El riesgo afecta la imagen de la entidad con algunos usuarios de relevancia frente al logro de los objetivos</v>
      </c>
      <c r="L50" s="226" t="str">
        <f>IF(OR(J50='[3]Tabla Impacto'!$F$25,J50='[3]Tabla Impacto'!$F$31),"Leve",IF(OR(J50='[3]Tabla Impacto'!$F$26,J50='[3]Tabla Impacto'!$F$32),"Menor",IF(OR(J50='[3]Tabla Impacto'!$F$27,J50='[3]Tabla Impacto'!$F$33,J50='[3]Tabla Impacto'!$F$37),"Moderado",IF(OR(J50='[3]Tabla Impacto'!$F$28,J50='[3]Tabla Impacto'!$F$34,J50='[3]Tabla Impacto'!$F$38),"Mayor",IF(OR(J50='[3]Tabla Impacto'!$F$29,J50='[3]Tabla Impacto'!$F$35,J50='[3]Tabla Impacto'!$F$39),"Catastrófico","")))))</f>
        <v>Moderado</v>
      </c>
      <c r="M50" s="225">
        <f t="shared" ref="M50" si="51">IF(L50="","",IF(L50="Leve",0.2,IF(L50="Menor",0.4,IF(L50="Moderado",0.6,IF(L50="Mayor",0.8,IF(L50="Catastrófico",1,))))))</f>
        <v>0.6</v>
      </c>
      <c r="N50" s="227" t="str">
        <f t="shared" ref="N50" si="52">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8">
        <v>1</v>
      </c>
      <c r="P50" s="9" t="s">
        <v>128</v>
      </c>
      <c r="Q50" s="10" t="s">
        <v>60</v>
      </c>
      <c r="R50" s="11" t="str">
        <f t="shared" si="32"/>
        <v>Probabilidad</v>
      </c>
      <c r="S50" s="12" t="s">
        <v>61</v>
      </c>
      <c r="T50" s="12" t="s">
        <v>62</v>
      </c>
      <c r="U50" s="13" t="str">
        <f>IF(AND(S50="Preventivo",T50="Automático"),"50%",IF(AND(S50="Preventivo",T50="Manual"),"40%",IF(AND(S50="Detectivo",T50="Automático"),"40%",IF(AND(S50="Detectivo",T50="Manual"),"30%",IF(AND(S50="Correctivo",T50="Automático"),"35%",IF(AND(S50="Correctivo",T50="Manual"),"25%",""))))))</f>
        <v>40%</v>
      </c>
      <c r="V50" s="12" t="s">
        <v>70</v>
      </c>
      <c r="W50" s="12" t="s">
        <v>64</v>
      </c>
      <c r="X50" s="12" t="s">
        <v>65</v>
      </c>
      <c r="Y50" s="14">
        <f>IFERROR(IF(R50="Probabilidad",(I50-(+I50*U50)),IF(R50="Impacto",I50,"")),"")</f>
        <v>0</v>
      </c>
      <c r="Z50" s="15" t="str">
        <f>IFERROR(IF(Y50="","",IF(Y50&lt;=0.2,"Muy Baja",IF(Y50&lt;=0.4,"Baja",IF(Y50&lt;=0.6,"Media",IF(Y50&lt;=0.8,"Alta","Muy Alta"))))),"")</f>
        <v>Muy Baja</v>
      </c>
      <c r="AA50" s="13">
        <f>+Y50</f>
        <v>0</v>
      </c>
      <c r="AB50" s="15" t="str">
        <f>IFERROR(IF(AC50="","",IF(AC50&lt;=0.2,"Leve",IF(AC50&lt;=0.4,"Menor",IF(AC50&lt;=0.6,"Moderado",IF(AC50&lt;=0.8,"Mayor","Catastrófico"))))),"")</f>
        <v>Moderado</v>
      </c>
      <c r="AC50" s="13">
        <f>IFERROR(IF(R50="Impacto",(M50-(+M50*U50)),IF(R50="Probabilidad",M50,"")),"")</f>
        <v>0.6</v>
      </c>
      <c r="AD50" s="1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Moderado</v>
      </c>
      <c r="AE50" s="12" t="s">
        <v>66</v>
      </c>
      <c r="AF50" s="299"/>
      <c r="AG50" s="299"/>
      <c r="AH50" s="301"/>
      <c r="AI50" s="301"/>
      <c r="AJ50" s="301"/>
      <c r="AK50" s="12"/>
    </row>
    <row r="51" spans="1:37" ht="15.75">
      <c r="A51" s="310"/>
      <c r="B51" s="232"/>
      <c r="C51" s="312"/>
      <c r="D51" s="312"/>
      <c r="E51" s="305"/>
      <c r="F51" s="232"/>
      <c r="G51" s="274"/>
      <c r="H51" s="276"/>
      <c r="I51" s="278"/>
      <c r="J51" s="224"/>
      <c r="K51" s="225">
        <f ca="1">IF(NOT(ISERROR(MATCH(J51,_xlfn.ANCHORARRAY(E53),0))),#REF!&amp;"Por favor no seleccionar los criterios de impacto",J51)</f>
        <v>0</v>
      </c>
      <c r="L51" s="226"/>
      <c r="M51" s="225"/>
      <c r="N51" s="227"/>
      <c r="O51" s="8">
        <v>2</v>
      </c>
      <c r="P51" s="33"/>
      <c r="Q51" s="10"/>
      <c r="R51" s="34" t="str">
        <f t="shared" si="32"/>
        <v/>
      </c>
      <c r="S51" s="35"/>
      <c r="T51" s="35"/>
      <c r="U51" s="36" t="str">
        <f t="shared" ref="U51" si="53">IF(AND(S51="Preventivo",T51="Automático"),"50%",IF(AND(S51="Preventivo",T51="Manual"),"40%",IF(AND(S51="Detectivo",T51="Automático"),"40%",IF(AND(S51="Detectivo",T51="Manual"),"30%",IF(AND(S51="Correctivo",T51="Automático"),"35%",IF(AND(S51="Correctivo",T51="Manual"),"25%",""))))))</f>
        <v/>
      </c>
      <c r="V51" s="35"/>
      <c r="W51" s="35"/>
      <c r="X51" s="35"/>
      <c r="Y51" s="37" t="str">
        <f>IFERROR(IF(AND(R50="Probabilidad",R51="Probabilidad"),(AA50-(+AA50*U51)),IF(R51="Probabilidad",(I50-(+I50*U51)),IF(R51="Impacto",AA50,""))),"")</f>
        <v/>
      </c>
      <c r="Z51" s="38" t="str">
        <f t="shared" si="34"/>
        <v/>
      </c>
      <c r="AA51" s="36" t="str">
        <f t="shared" ref="AA51" si="54">+Y51</f>
        <v/>
      </c>
      <c r="AB51" s="38" t="str">
        <f t="shared" si="36"/>
        <v/>
      </c>
      <c r="AC51" s="36" t="str">
        <f>IFERROR(IF(AND(R50="Impacto",R51="Impacto"),(#REF!-(+#REF!*U51)),IF(R51="Impacto",($M$22-(+$M$22*U51)),IF(R51="Probabilidad",#REF!,""))),"")</f>
        <v/>
      </c>
      <c r="AD51" s="39" t="str">
        <f t="shared" ref="AD51" si="55">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35"/>
      <c r="AF51" s="300"/>
      <c r="AG51" s="300"/>
      <c r="AH51" s="302"/>
      <c r="AI51" s="302"/>
      <c r="AJ51" s="302"/>
      <c r="AK51" s="12"/>
    </row>
    <row r="52" spans="1:37">
      <c r="A52" s="310">
        <v>5</v>
      </c>
      <c r="B52" s="232"/>
      <c r="C52" s="232"/>
      <c r="D52" s="232"/>
      <c r="E52" s="233"/>
      <c r="F52" s="232"/>
      <c r="G52" s="273"/>
      <c r="H52" s="275" t="str">
        <f>IF(G52="","",IF('[3]Mapa final'!G42='[3]Tabla probabilidad'!$C$4,"MUY BAJA",IF('[3]Mapa final'!G42='[3]Tabla probabilidad'!$C$5,"BAJA",IF('[3]Mapa final'!G42='[3]Tabla probabilidad'!$C$6,"MEDIA",IF('[3]Mapa final'!G42='[3]Tabla probabilidad'!$C$7,"ALTA",IF('[3]Mapa final'!G42='[3]Tabla probabilidad'!$C$8,"MUY ALTA"))))))</f>
        <v/>
      </c>
      <c r="I52" s="277" t="str">
        <f t="shared" ref="I52" si="56">IF(H52="","",IF(H52="Muy Baja",0.2,IF(H52="Baja",0.4,IF(H52="Media",0.6,IF(H52="Alta",0.8,IF(H52="Muy Alta",1,))))))</f>
        <v/>
      </c>
      <c r="J52" s="224"/>
      <c r="K52" s="225" t="str">
        <f>IF(J52="","",IF(NOT(ISERROR(MATCH(J52,'[3]Tabla Impacto'!$B$37:$B$39,0))),'[3]Tabla Impacto'!$F$37&amp;"Por favor no seleccionar los criterios de impacto(Afectación Económica o presupuestal y Pérdida Reputacional)",J52))</f>
        <v/>
      </c>
      <c r="L52" s="226" t="str">
        <f>IF(OR(J52='[3]Tabla Impacto'!$F$25,J52='[3]Tabla Impacto'!$F$31),"Leve",IF(OR(J52='[3]Tabla Impacto'!$F$26,J52='[3]Tabla Impacto'!$F$32),"Menor",IF(OR(J52='[3]Tabla Impacto'!$F$27,J52='[3]Tabla Impacto'!$F$33,J52='[3]Tabla Impacto'!$F$37),"Moderado",IF(OR(J52='[3]Tabla Impacto'!$F$28,J52='[3]Tabla Impacto'!$F$34,J52='[3]Tabla Impacto'!$F$38),"Mayor",IF(OR(J52='[3]Tabla Impacto'!$F$29,J52='[3]Tabla Impacto'!$F$35,J52='[3]Tabla Impacto'!$F$39),"Catastrófico","")))))</f>
        <v/>
      </c>
      <c r="M52" s="225" t="str">
        <f t="shared" ref="M52" si="57">IF(L52="","",IF(L52="Leve",0.2,IF(L52="Menor",0.4,IF(L52="Moderado",0.6,IF(L52="Mayor",0.8,IF(L52="Catastrófico",1,))))))</f>
        <v/>
      </c>
      <c r="N52" s="227" t="str">
        <f t="shared" ref="N52" si="58">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23">
        <v>1</v>
      </c>
      <c r="P52" s="24"/>
      <c r="Q52" s="24"/>
      <c r="R52" s="23" t="str">
        <f t="shared" si="32"/>
        <v/>
      </c>
      <c r="S52" s="12"/>
      <c r="T52" s="12"/>
      <c r="U52" s="25" t="str">
        <f>IF(AND(S52="Preventivo",T52="Automático"),"50%",IF(AND(S52="Preventivo",T52="Manual"),"40%",IF(AND(S52="Detectivo",T52="Automático"),"40%",IF(AND(S52="Detectivo",T52="Manual"),"30%",IF(AND(S52="Correctivo",T52="Automático"),"35%",IF(AND(S52="Correctivo",T52="Manual"),"25%",""))))))</f>
        <v/>
      </c>
      <c r="V52" s="12"/>
      <c r="W52" s="12"/>
      <c r="X52" s="12"/>
      <c r="Y52" s="26" t="str">
        <f t="shared" ref="Y52:Y53" si="59">IFERROR(IF(R52="Probabilidad",(I52-(+I52*U52)),IF(R52="Impacto",I52,"")),"")</f>
        <v/>
      </c>
      <c r="Z52" s="19" t="str">
        <f>IFERROR(IF(Y52="","",IF(Y52&lt;=0.2,"Muy Baja",IF(Y52&lt;=0.4,"Baja",IF(Y52&lt;=0.6,"Media",IF(Y52&lt;=0.8,"Alta","Muy Alta"))))),"")</f>
        <v/>
      </c>
      <c r="AA52" s="25" t="str">
        <f>+Y52</f>
        <v/>
      </c>
      <c r="AB52" s="19" t="str">
        <f>IFERROR(IF(AC52="","",IF(AC52&lt;=0.2,"Leve",IF(AC52&lt;=0.4,"Menor",IF(AC52&lt;=0.6,"Moderado",IF(AC52&lt;=0.8,"Mayor","Catastrófico"))))),"")</f>
        <v/>
      </c>
      <c r="AC52" s="25" t="str">
        <f t="shared" ref="AC52:AC53" si="60">IFERROR(IF(R52="Impacto",(M52-(+M52*U52)),IF(R52="Probabilidad",M52,"")),"")</f>
        <v/>
      </c>
      <c r="AD52" s="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2"/>
      <c r="AF52" s="18"/>
      <c r="AG52" s="12"/>
      <c r="AH52" s="27"/>
      <c r="AI52" s="27"/>
      <c r="AJ52" s="18"/>
      <c r="AK52" s="12"/>
    </row>
    <row r="53" spans="1:37">
      <c r="A53" s="310"/>
      <c r="B53" s="232"/>
      <c r="C53" s="232"/>
      <c r="D53" s="232"/>
      <c r="E53" s="233"/>
      <c r="F53" s="232"/>
      <c r="G53" s="274"/>
      <c r="H53" s="276"/>
      <c r="I53" s="278"/>
      <c r="J53" s="224"/>
      <c r="K53" s="225">
        <f ca="1">IF(NOT(ISERROR(MATCH(J53,_xlfn.ANCHORARRAY(E55),0))),#REF!&amp;"Por favor no seleccionar los criterios de impacto",J53)</f>
        <v>0</v>
      </c>
      <c r="L53" s="226"/>
      <c r="M53" s="225"/>
      <c r="N53" s="227"/>
      <c r="O53" s="23">
        <v>2</v>
      </c>
      <c r="P53" s="24"/>
      <c r="Q53" s="24"/>
      <c r="R53" s="23" t="str">
        <f t="shared" si="32"/>
        <v/>
      </c>
      <c r="S53" s="12"/>
      <c r="T53" s="12"/>
      <c r="U53" s="25" t="str">
        <f t="shared" ref="U53" si="61">IF(AND(S53="Preventivo",T53="Automático"),"50%",IF(AND(S53="Preventivo",T53="Manual"),"40%",IF(AND(S53="Detectivo",T53="Automático"),"40%",IF(AND(S53="Detectivo",T53="Manual"),"30%",IF(AND(S53="Correctivo",T53="Automático"),"35%",IF(AND(S53="Correctivo",T53="Manual"),"25%",""))))))</f>
        <v/>
      </c>
      <c r="V53" s="12"/>
      <c r="W53" s="12"/>
      <c r="X53" s="12"/>
      <c r="Y53" s="26" t="str">
        <f t="shared" si="59"/>
        <v/>
      </c>
      <c r="Z53" s="19" t="str">
        <f t="shared" ref="Z53" si="62">IFERROR(IF(Y53="","",IF(Y53&lt;=0.2,"Muy Baja",IF(Y53&lt;=0.4,"Baja",IF(Y53&lt;=0.6,"Media",IF(Y53&lt;=0.8,"Alta","Muy Alta"))))),"")</f>
        <v/>
      </c>
      <c r="AA53" s="25" t="str">
        <f t="shared" ref="AA53" si="63">+Y53</f>
        <v/>
      </c>
      <c r="AB53" s="19" t="str">
        <f t="shared" ref="AB53" si="64">IFERROR(IF(AC53="","",IF(AC53&lt;=0.2,"Leve",IF(AC53&lt;=0.4,"Menor",IF(AC53&lt;=0.6,"Moderado",IF(AC53&lt;=0.8,"Mayor","Catastrófico"))))),"")</f>
        <v/>
      </c>
      <c r="AC53" s="25" t="str">
        <f t="shared" si="60"/>
        <v/>
      </c>
      <c r="AD53" s="2" t="str">
        <f t="shared" ref="AD53" si="65">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2"/>
      <c r="AF53" s="18"/>
      <c r="AG53" s="12"/>
      <c r="AH53" s="27"/>
      <c r="AI53" s="27"/>
      <c r="AJ53" s="18"/>
      <c r="AK53" s="12"/>
    </row>
    <row r="54" spans="1:37">
      <c r="A54" s="228" t="s">
        <v>97</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30"/>
    </row>
    <row r="55" spans="1:37">
      <c r="A55" s="28"/>
      <c r="B55" s="29" t="s">
        <v>98</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 r="A56" s="28"/>
      <c r="B56" s="29"/>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c r="A58" s="28"/>
      <c r="B58" s="29"/>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c r="A59" s="28"/>
      <c r="B59" s="29"/>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c r="A61" s="28"/>
      <c r="B61" s="29"/>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c r="A62" s="28"/>
      <c r="B62" s="29"/>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21">
      <c r="A63" s="346" t="s">
        <v>384</v>
      </c>
      <c r="B63" s="347"/>
      <c r="C63" s="347"/>
      <c r="D63" s="347"/>
      <c r="E63" s="347"/>
      <c r="F63" s="347"/>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c r="A64" s="28"/>
      <c r="B64" s="29"/>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c r="A65" s="28"/>
      <c r="B65" s="29"/>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c r="A66" s="28"/>
      <c r="B66" s="29"/>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8" spans="1:37">
      <c r="A68" s="317"/>
      <c r="B68" s="317"/>
      <c r="C68" s="317"/>
      <c r="D68" s="317"/>
      <c r="E68" s="227" t="s">
        <v>0</v>
      </c>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t="s">
        <v>1</v>
      </c>
      <c r="AI68" s="227"/>
      <c r="AJ68" s="227"/>
      <c r="AK68" s="227"/>
    </row>
    <row r="69" spans="1:37">
      <c r="A69" s="317"/>
      <c r="B69" s="317"/>
      <c r="C69" s="317"/>
      <c r="D69" s="317"/>
      <c r="E69" s="227" t="s">
        <v>2</v>
      </c>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t="s">
        <v>3</v>
      </c>
      <c r="AI69" s="227"/>
      <c r="AJ69" s="227"/>
      <c r="AK69" s="227"/>
    </row>
    <row r="70" spans="1:37">
      <c r="A70" s="317"/>
      <c r="B70" s="317"/>
      <c r="C70" s="317"/>
      <c r="D70" s="31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t="s">
        <v>4</v>
      </c>
      <c r="AI70" s="227"/>
      <c r="AJ70" s="227"/>
      <c r="AK70" s="227"/>
    </row>
    <row r="71" spans="1:37">
      <c r="A71" s="40"/>
      <c r="B71" s="41"/>
      <c r="C71" s="40"/>
      <c r="D71" s="40"/>
      <c r="E71" s="42"/>
      <c r="F71" s="40"/>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2" spans="1:37" ht="33.75" customHeight="1">
      <c r="A72" s="254" t="s">
        <v>5</v>
      </c>
      <c r="B72" s="254"/>
      <c r="C72" s="255" t="s">
        <v>6</v>
      </c>
      <c r="D72" s="255"/>
      <c r="E72" s="255"/>
      <c r="F72" s="255"/>
      <c r="G72" s="255"/>
      <c r="H72" s="256" t="s">
        <v>7</v>
      </c>
      <c r="I72" s="256"/>
      <c r="J72" s="255" t="s">
        <v>129</v>
      </c>
      <c r="K72" s="255"/>
      <c r="L72" s="255"/>
      <c r="M72" s="255"/>
      <c r="N72" s="255"/>
      <c r="O72" s="256" t="s">
        <v>9</v>
      </c>
      <c r="P72" s="256"/>
      <c r="Q72" s="306" t="s">
        <v>130</v>
      </c>
      <c r="R72" s="307"/>
      <c r="S72" s="307"/>
      <c r="T72" s="307"/>
      <c r="U72" s="307"/>
      <c r="V72" s="307"/>
      <c r="W72" s="307"/>
      <c r="X72" s="307"/>
      <c r="Y72" s="307"/>
      <c r="Z72" s="307"/>
      <c r="AA72" s="307"/>
      <c r="AB72" s="307"/>
      <c r="AC72" s="307"/>
      <c r="AD72" s="307"/>
      <c r="AE72" s="308"/>
      <c r="AF72" s="154" t="s">
        <v>11</v>
      </c>
      <c r="AG72" s="314" t="s">
        <v>131</v>
      </c>
      <c r="AH72" s="314"/>
      <c r="AI72" s="314"/>
      <c r="AJ72" s="314"/>
      <c r="AK72" s="314"/>
    </row>
    <row r="73" spans="1:37" ht="23.25" customHeight="1">
      <c r="A73" s="245" t="s">
        <v>13</v>
      </c>
      <c r="B73" s="245"/>
      <c r="C73" s="245"/>
      <c r="D73" s="245"/>
      <c r="E73" s="245"/>
      <c r="F73" s="245"/>
      <c r="G73" s="245"/>
      <c r="H73" s="248" t="s">
        <v>14</v>
      </c>
      <c r="I73" s="248"/>
      <c r="J73" s="248"/>
      <c r="K73" s="248"/>
      <c r="L73" s="248"/>
      <c r="M73" s="248"/>
      <c r="N73" s="248"/>
      <c r="O73" s="261" t="s">
        <v>15</v>
      </c>
      <c r="P73" s="261"/>
      <c r="Q73" s="261"/>
      <c r="R73" s="261"/>
      <c r="S73" s="261"/>
      <c r="T73" s="261"/>
      <c r="U73" s="261"/>
      <c r="V73" s="261"/>
      <c r="W73" s="261"/>
      <c r="X73" s="261"/>
      <c r="Y73" s="262" t="s">
        <v>16</v>
      </c>
      <c r="Z73" s="262"/>
      <c r="AA73" s="262"/>
      <c r="AB73" s="262"/>
      <c r="AC73" s="262"/>
      <c r="AD73" s="262"/>
      <c r="AE73" s="262"/>
      <c r="AF73" s="243" t="s">
        <v>17</v>
      </c>
      <c r="AG73" s="243"/>
      <c r="AH73" s="243"/>
      <c r="AI73" s="243"/>
      <c r="AJ73" s="243"/>
      <c r="AK73" s="243"/>
    </row>
    <row r="74" spans="1:37" ht="15" customHeight="1">
      <c r="A74" s="245" t="s">
        <v>390</v>
      </c>
      <c r="B74" s="245" t="s">
        <v>19</v>
      </c>
      <c r="C74" s="246" t="s">
        <v>20</v>
      </c>
      <c r="D74" s="246" t="s">
        <v>21</v>
      </c>
      <c r="E74" s="246" t="s">
        <v>22</v>
      </c>
      <c r="F74" s="246" t="s">
        <v>23</v>
      </c>
      <c r="G74" s="246" t="s">
        <v>24</v>
      </c>
      <c r="H74" s="247" t="s">
        <v>25</v>
      </c>
      <c r="I74" s="248" t="s">
        <v>26</v>
      </c>
      <c r="J74" s="247" t="s">
        <v>27</v>
      </c>
      <c r="K74" s="247" t="s">
        <v>28</v>
      </c>
      <c r="L74" s="247" t="s">
        <v>29</v>
      </c>
      <c r="M74" s="248" t="s">
        <v>26</v>
      </c>
      <c r="N74" s="247" t="s">
        <v>30</v>
      </c>
      <c r="O74" s="249" t="s">
        <v>31</v>
      </c>
      <c r="P74" s="237" t="s">
        <v>32</v>
      </c>
      <c r="Q74" s="251" t="s">
        <v>33</v>
      </c>
      <c r="R74" s="237" t="s">
        <v>34</v>
      </c>
      <c r="S74" s="237" t="s">
        <v>35</v>
      </c>
      <c r="T74" s="237"/>
      <c r="U74" s="237"/>
      <c r="V74" s="237"/>
      <c r="W74" s="237"/>
      <c r="X74" s="237"/>
      <c r="Y74" s="236" t="s">
        <v>36</v>
      </c>
      <c r="Z74" s="236" t="s">
        <v>37</v>
      </c>
      <c r="AA74" s="236" t="s">
        <v>26</v>
      </c>
      <c r="AB74" s="236" t="s">
        <v>38</v>
      </c>
      <c r="AC74" s="236" t="s">
        <v>26</v>
      </c>
      <c r="AD74" s="236" t="s">
        <v>39</v>
      </c>
      <c r="AE74" s="236" t="s">
        <v>40</v>
      </c>
      <c r="AF74" s="250" t="s">
        <v>17</v>
      </c>
      <c r="AG74" s="250" t="s">
        <v>41</v>
      </c>
      <c r="AH74" s="250" t="s">
        <v>42</v>
      </c>
      <c r="AI74" s="250" t="s">
        <v>43</v>
      </c>
      <c r="AJ74" s="250" t="s">
        <v>44</v>
      </c>
      <c r="AK74" s="250" t="s">
        <v>45</v>
      </c>
    </row>
    <row r="75" spans="1:37" ht="15" customHeight="1" thickBot="1">
      <c r="A75" s="245"/>
      <c r="B75" s="245"/>
      <c r="C75" s="246"/>
      <c r="D75" s="246"/>
      <c r="E75" s="246"/>
      <c r="F75" s="246"/>
      <c r="G75" s="246"/>
      <c r="H75" s="247"/>
      <c r="I75" s="248"/>
      <c r="J75" s="247"/>
      <c r="K75" s="247"/>
      <c r="L75" s="248"/>
      <c r="M75" s="248"/>
      <c r="N75" s="247"/>
      <c r="O75" s="249"/>
      <c r="P75" s="237"/>
      <c r="Q75" s="252"/>
      <c r="R75" s="237"/>
      <c r="S75" s="7" t="s">
        <v>46</v>
      </c>
      <c r="T75" s="7" t="s">
        <v>47</v>
      </c>
      <c r="U75" s="7" t="s">
        <v>48</v>
      </c>
      <c r="V75" s="7" t="s">
        <v>49</v>
      </c>
      <c r="W75" s="7" t="s">
        <v>50</v>
      </c>
      <c r="X75" s="7" t="s">
        <v>51</v>
      </c>
      <c r="Y75" s="236"/>
      <c r="Z75" s="236"/>
      <c r="AA75" s="236"/>
      <c r="AB75" s="236"/>
      <c r="AC75" s="236"/>
      <c r="AD75" s="236"/>
      <c r="AE75" s="236"/>
      <c r="AF75" s="250"/>
      <c r="AG75" s="250"/>
      <c r="AH75" s="250"/>
      <c r="AI75" s="250"/>
      <c r="AJ75" s="250"/>
      <c r="AK75" s="250"/>
    </row>
    <row r="76" spans="1:37" ht="409.5">
      <c r="A76" s="317">
        <v>1</v>
      </c>
      <c r="B76" s="318" t="s">
        <v>52</v>
      </c>
      <c r="C76" s="320" t="s">
        <v>132</v>
      </c>
      <c r="D76" s="322" t="s">
        <v>133</v>
      </c>
      <c r="E76" s="323" t="s">
        <v>134</v>
      </c>
      <c r="F76" s="232" t="s">
        <v>56</v>
      </c>
      <c r="G76" s="232" t="s">
        <v>57</v>
      </c>
      <c r="H76" s="226" t="b">
        <f>IF(G76="","",IF('[4]Mapa final'!G55='[4]Tabla probabilidad'!$C$4,"MUY BAJA",IF('[4]Mapa final'!G55='[4]Tabla probabilidad'!$C$5,"BAJA",IF('[4]Mapa final'!G55='[4]Tabla probabilidad'!$C$6,"MEDIA",IF('[4]Mapa final'!G55='[4]Tabla probabilidad'!$C$7,"ALTA",IF('[4]Mapa final'!G55='[4]Tabla probabilidad'!$C$8,"MUY ALTA"))))))</f>
        <v>0</v>
      </c>
      <c r="I76" s="225">
        <f t="shared" ref="I76" si="66">IF(H76="","",IF(H76="Muy Baja",0.2,IF(H76="Baja",0.4,IF(H76="Media",0.6,IF(H76="Alta",0.8,IF(H76="Muy Alta",1,))))))</f>
        <v>0</v>
      </c>
      <c r="J76" s="224" t="s">
        <v>135</v>
      </c>
      <c r="K76" s="225" t="str">
        <f>IF(J76="","",IF(NOT(ISERROR(MATCH(J76,'[4]Tabla Impacto'!$B$37:$B$39,0))),'[4]Tabla Impacto'!$F$37&amp;"Por favor no seleccionar los criterios de impacto(Afectación Económica o presupuestal y Pérdida Reputacional)",J76))</f>
        <v xml:space="preserve">     Entre 10 y 50 SMLMV </v>
      </c>
      <c r="L76" s="226" t="str">
        <f>IF(OR(J76='[4]Tabla Impacto'!$F$25,J76='[4]Tabla Impacto'!$F$31),"Leve",IF(OR(J76='[4]Tabla Impacto'!$F$26,J76='[4]Tabla Impacto'!$F$32),"Menor",IF(OR(J76='[4]Tabla Impacto'!$F$27,J76='[4]Tabla Impacto'!$F$33,J76='[4]Tabla Impacto'!$F$37),"Moderado",IF(OR(J76='[4]Tabla Impacto'!$F$28,J76='[4]Tabla Impacto'!$F$34,J76='[4]Tabla Impacto'!$F$38),"Mayor",IF(OR(J76='[4]Tabla Impacto'!$F$29,J76='[4]Tabla Impacto'!$F$35,J76='[4]Tabla Impacto'!$F$39),"Catastrófico","")))))</f>
        <v>Menor</v>
      </c>
      <c r="M76" s="225">
        <f t="shared" ref="M76" si="67">IF(L76="","",IF(L76="Leve",0.2,IF(L76="Menor",0.4,IF(L76="Moderado",0.6,IF(L76="Mayor",0.8,IF(L76="Catastrófico",1,))))))</f>
        <v>0.4</v>
      </c>
      <c r="N76" s="227" t="str">
        <f t="shared" ref="N76" si="68">IF(OR(AND(H76="Muy Baja",L76="Leve"),AND(H76="Muy Baja",L76="Menor"),AND(H76="Baja",L76="Leve")),"Bajo",IF(OR(AND(H76="Muy baja",L76="Moderado"),AND(H76="Baja",L76="Menor"),AND(H76="Baja",L76="Moderado"),AND(H76="Media",L76="Leve"),AND(H76="Media",L76="Menor"),AND(H76="Media",L76="Moderado"),AND(H76="Alta",L76="Leve"),AND(H76="Alta",L76="Menor")),"Moderado",IF(OR(AND(H76="Muy Baja",L76="Mayor"),AND(H76="Baja",L76="Mayor"),AND(H76="Media",L76="Mayor"),AND(H76="Alta",L76="Moderado"),AND(H76="Alta",L76="Mayor"),AND(H76="Muy Alta",L76="Leve"),AND(H76="Muy Alta",L76="Menor"),AND(H76="Muy Alta",L76="Moderado"),AND(H76="Muy Alta",L76="Mayor")),"Alto",IF(OR(AND(H76="Muy Baja",L76="Catastrófico"),AND(H76="Baja",L76="Catastrófico"),AND(H76="Media",L76="Catastrófico"),AND(H76="Alta",L76="Catastrófico"),AND(H76="Muy Alta",L76="Catastrófico")),"Extremo",""))))</f>
        <v/>
      </c>
      <c r="O76" s="23">
        <v>1</v>
      </c>
      <c r="P76" s="43" t="s">
        <v>136</v>
      </c>
      <c r="Q76" s="44" t="s">
        <v>137</v>
      </c>
      <c r="R76" s="45" t="str">
        <f t="shared" ref="R76:R83" si="69">IF(OR(S76="Preventivo",S76="Detectivo"),"Probabilidad",IF(S76="Correctivo","Impacto",""))</f>
        <v>Probabilidad</v>
      </c>
      <c r="S76" s="12" t="s">
        <v>61</v>
      </c>
      <c r="T76" s="12" t="s">
        <v>62</v>
      </c>
      <c r="U76" s="46" t="str">
        <f>IF(AND(S76="Preventivo",T76="Automático"),"50%",IF(AND(S76="Preventivo",T76="Manual"),"40%",IF(AND(S76="Detectivo",T76="Automático"),"40%",IF(AND(S76="Detectivo",T76="Manual"),"30%",IF(AND(S76="Correctivo",T76="Automático"),"35%",IF(AND(S76="Correctivo",T76="Manual"),"25%",""))))))</f>
        <v>40%</v>
      </c>
      <c r="V76" s="12" t="s">
        <v>70</v>
      </c>
      <c r="W76" s="12" t="s">
        <v>64</v>
      </c>
      <c r="X76" s="12" t="s">
        <v>65</v>
      </c>
      <c r="Y76" s="26">
        <f t="shared" ref="Y76:Y83" si="70">IFERROR(IF(R76="Probabilidad",(I76-(+I76*U76)),IF(R76="Impacto",I76,"")),"")</f>
        <v>0</v>
      </c>
      <c r="Z76" s="19" t="str">
        <f t="shared" ref="Z76:Z79" si="71">IFERROR(IF(Y76="","",IF(Y76&lt;=0.2,"Muy Baja",IF(Y76&lt;=0.4,"Baja",IF(Y76&lt;=0.6,"Media",IF(Y76&lt;=0.8,"Alta","Muy Alta"))))),"")</f>
        <v>Muy Baja</v>
      </c>
      <c r="AA76" s="25">
        <f t="shared" ref="AA76:AA79" si="72">+Y76</f>
        <v>0</v>
      </c>
      <c r="AB76" s="19" t="str">
        <f t="shared" ref="AB76:AB79" si="73">IFERROR(IF(AC76="","",IF(AC76&lt;=0.2,"Leve",IF(AC76&lt;=0.4,"Menor",IF(AC76&lt;=0.6,"Moderado",IF(AC76&lt;=0.8,"Mayor","Catastrófico"))))),"")</f>
        <v>Menor</v>
      </c>
      <c r="AC76" s="25">
        <f t="shared" ref="AC76:AC83" si="74">IFERROR(IF(R76="Impacto",(M76-(+M76*U76)),IF(R76="Probabilidad",M76,"")),"")</f>
        <v>0.4</v>
      </c>
      <c r="AD76" s="2" t="str">
        <f t="shared" ref="AD76:AD79" si="75">IFERROR(IF(OR(AND(Z76="Muy Baja",AB76="Leve"),AND(Z76="Muy Baja",AB76="Menor"),AND(Z76="Baja",AB76="Leve")),"Bajo",IF(OR(AND(Z76="Muy baja",AB76="Moderado"),AND(Z76="Baja",AB76="Menor"),AND(Z76="Baja",AB76="Moderado"),AND(Z76="Media",AB76="Leve"),AND(Z76="Media",AB76="Menor"),AND(Z76="Media",AB76="Moderado"),AND(Z76="Alta",AB76="Leve"),AND(Z76="Alta",AB76="Menor")),"Moderado",IF(OR(AND(Z76="Muy Baja",AB76="Mayor"),AND(Z76="Baja",AB76="Mayor"),AND(Z76="Media",AB76="Mayor"),AND(Z76="Alta",AB76="Moderado"),AND(Z76="Alta",AB76="Mayor"),AND(Z76="Muy Alta",AB76="Leve"),AND(Z76="Muy Alta",AB76="Menor"),AND(Z76="Muy Alta",AB76="Moderado"),AND(Z76="Muy Alta",AB76="Mayor")),"Alto",IF(OR(AND(Z76="Muy Baja",AB76="Catastrófico"),AND(Z76="Baja",AB76="Catastrófico"),AND(Z76="Media",AB76="Catastrófico"),AND(Z76="Alta",AB76="Catastrófico"),AND(Z76="Muy Alta",AB76="Catastrófico")),"Extremo","")))),"")</f>
        <v>Bajo</v>
      </c>
      <c r="AE76" s="12" t="s">
        <v>66</v>
      </c>
      <c r="AF76" s="273"/>
      <c r="AG76" s="273"/>
      <c r="AH76" s="315"/>
      <c r="AI76" s="315"/>
      <c r="AJ76" s="315"/>
      <c r="AK76" s="12"/>
    </row>
    <row r="77" spans="1:37" ht="408">
      <c r="A77" s="317"/>
      <c r="B77" s="319"/>
      <c r="C77" s="321"/>
      <c r="D77" s="322"/>
      <c r="E77" s="323"/>
      <c r="F77" s="232"/>
      <c r="G77" s="232"/>
      <c r="H77" s="226"/>
      <c r="I77" s="225"/>
      <c r="J77" s="224"/>
      <c r="K77" s="225">
        <f ca="1">IF(NOT(ISERROR(MATCH(J77,_xlfn.ANCHORARRAY(E80),0))),#REF!&amp;"Por favor no seleccionar los criterios de impacto",J77)</f>
        <v>0</v>
      </c>
      <c r="L77" s="226"/>
      <c r="M77" s="225"/>
      <c r="N77" s="227"/>
      <c r="O77" s="23">
        <v>2</v>
      </c>
      <c r="P77" s="47" t="s">
        <v>138</v>
      </c>
      <c r="Q77" s="44" t="s">
        <v>139</v>
      </c>
      <c r="R77" s="45" t="str">
        <f t="shared" si="69"/>
        <v>Probabilidad</v>
      </c>
      <c r="S77" s="12" t="s">
        <v>69</v>
      </c>
      <c r="T77" s="12" t="s">
        <v>62</v>
      </c>
      <c r="U77" s="46" t="str">
        <f t="shared" ref="U77" si="76">IF(AND(S77="Preventivo",T77="Automático"),"50%",IF(AND(S77="Preventivo",T77="Manual"),"40%",IF(AND(S77="Detectivo",T77="Automático"),"40%",IF(AND(S77="Detectivo",T77="Manual"),"30%",IF(AND(S77="Correctivo",T77="Automático"),"35%",IF(AND(S77="Correctivo",T77="Manual"),"25%",""))))))</f>
        <v>30%</v>
      </c>
      <c r="V77" s="12" t="s">
        <v>70</v>
      </c>
      <c r="W77" s="12" t="s">
        <v>64</v>
      </c>
      <c r="X77" s="12" t="s">
        <v>65</v>
      </c>
      <c r="Y77" s="26">
        <f t="shared" si="70"/>
        <v>0</v>
      </c>
      <c r="Z77" s="19" t="str">
        <f t="shared" si="71"/>
        <v>Muy Baja</v>
      </c>
      <c r="AA77" s="25">
        <f t="shared" si="72"/>
        <v>0</v>
      </c>
      <c r="AB77" s="19" t="str">
        <f t="shared" si="73"/>
        <v>Leve</v>
      </c>
      <c r="AC77" s="25">
        <f t="shared" si="74"/>
        <v>0</v>
      </c>
      <c r="AD77" s="2" t="str">
        <f t="shared" si="75"/>
        <v>Bajo</v>
      </c>
      <c r="AE77" s="12" t="s">
        <v>66</v>
      </c>
      <c r="AF77" s="274"/>
      <c r="AG77" s="274"/>
      <c r="AH77" s="316"/>
      <c r="AI77" s="316"/>
      <c r="AJ77" s="316"/>
      <c r="AK77" s="12"/>
    </row>
    <row r="78" spans="1:37" ht="318.75">
      <c r="A78" s="317">
        <v>2</v>
      </c>
      <c r="B78" s="232" t="s">
        <v>140</v>
      </c>
      <c r="C78" s="321" t="s">
        <v>141</v>
      </c>
      <c r="D78" s="321" t="s">
        <v>142</v>
      </c>
      <c r="E78" s="324" t="s">
        <v>143</v>
      </c>
      <c r="F78" s="232" t="s">
        <v>144</v>
      </c>
      <c r="G78" s="232" t="s">
        <v>76</v>
      </c>
      <c r="H78" s="226" t="b">
        <f>IF(G78="","",IF('[4]Mapa final'!G57='[4]Tabla probabilidad'!$C$4,"MUY BAJA",IF('[4]Mapa final'!G57='[4]Tabla probabilidad'!$C$5,"BAJA",IF('[4]Mapa final'!G57='[4]Tabla probabilidad'!$C$6,"MEDIA",IF('[4]Mapa final'!G57='[4]Tabla probabilidad'!$C$7,"ALTA",IF('[4]Mapa final'!G57='[4]Tabla probabilidad'!$C$8,"MUY ALTA"))))))</f>
        <v>0</v>
      </c>
      <c r="I78" s="225">
        <f t="shared" ref="I78" si="77">IF(H78="","",IF(H78="Muy Baja",0.2,IF(H78="Baja",0.4,IF(H78="Media",0.6,IF(H78="Alta",0.8,IF(H78="Muy Alta",1,))))))</f>
        <v>0</v>
      </c>
      <c r="J78" s="224" t="s">
        <v>145</v>
      </c>
      <c r="K78" s="225" t="str">
        <f>IF(J78="","",IF(NOT(ISERROR(MATCH(J78,'[4]Tabla Impacto'!$B$37:$B$39,0))),'[4]Tabla Impacto'!$F$37&amp;"Por favor no seleccionar los criterios de impacto(Afectación Económica o presupuestal y Pérdida Reputacional)",J78))</f>
        <v xml:space="preserve">     Entre 100 y 500 SMLMV </v>
      </c>
      <c r="L78" s="226" t="str">
        <f>IF(OR(J78='[4]Tabla Impacto'!$F$25,J78='[4]Tabla Impacto'!$F$31),"Leve",IF(OR(J78='[4]Tabla Impacto'!$F$26,J78='[4]Tabla Impacto'!$F$32),"Menor",IF(OR(J78='[4]Tabla Impacto'!$F$27,J78='[4]Tabla Impacto'!$F$33,J78='[4]Tabla Impacto'!$F$37),"Moderado",IF(OR(J78='[4]Tabla Impacto'!$F$28,J78='[4]Tabla Impacto'!$F$34,J78='[4]Tabla Impacto'!$F$38),"Mayor",IF(OR(J78='[4]Tabla Impacto'!$F$29,J78='[4]Tabla Impacto'!$F$35,J78='[4]Tabla Impacto'!$F$39),"Catastrófico","")))))</f>
        <v>Mayor</v>
      </c>
      <c r="M78" s="225">
        <f t="shared" ref="M78" si="78">IF(L78="","",IF(L78="Leve",0.2,IF(L78="Menor",0.4,IF(L78="Moderado",0.6,IF(L78="Mayor",0.8,IF(L78="Catastrófico",1,))))))</f>
        <v>0.8</v>
      </c>
      <c r="N78" s="227" t="str">
        <f t="shared" ref="N78" si="79">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23">
        <v>1</v>
      </c>
      <c r="P78" s="47" t="s">
        <v>146</v>
      </c>
      <c r="Q78" s="44" t="s">
        <v>147</v>
      </c>
      <c r="R78" s="45" t="str">
        <f t="shared" si="69"/>
        <v>Impacto</v>
      </c>
      <c r="S78" s="12" t="s">
        <v>122</v>
      </c>
      <c r="T78" s="12" t="s">
        <v>62</v>
      </c>
      <c r="U78" s="46" t="str">
        <f>IF(AND(S78="Preventivo",T78="Automático"),"50%",IF(AND(S78="Preventivo",T78="Manual"),"40%",IF(AND(S78="Detectivo",T78="Automático"),"40%",IF(AND(S78="Detectivo",T78="Manual"),"30%",IF(AND(S78="Correctivo",T78="Automático"),"35%",IF(AND(S78="Correctivo",T78="Manual"),"25%",""))))))</f>
        <v>25%</v>
      </c>
      <c r="V78" s="12" t="s">
        <v>63</v>
      </c>
      <c r="W78" s="12" t="s">
        <v>64</v>
      </c>
      <c r="X78" s="12" t="s">
        <v>65</v>
      </c>
      <c r="Y78" s="26">
        <f t="shared" si="70"/>
        <v>0</v>
      </c>
      <c r="Z78" s="19" t="str">
        <f t="shared" si="71"/>
        <v>Muy Baja</v>
      </c>
      <c r="AA78" s="25">
        <f t="shared" si="72"/>
        <v>0</v>
      </c>
      <c r="AB78" s="19" t="str">
        <f t="shared" si="73"/>
        <v>Moderado</v>
      </c>
      <c r="AC78" s="25">
        <f t="shared" si="74"/>
        <v>0.60000000000000009</v>
      </c>
      <c r="AD78" s="2" t="str">
        <f t="shared" si="75"/>
        <v>Moderado</v>
      </c>
      <c r="AE78" s="12" t="s">
        <v>66</v>
      </c>
      <c r="AF78" s="273"/>
      <c r="AG78" s="273"/>
      <c r="AH78" s="315"/>
      <c r="AI78" s="315"/>
      <c r="AJ78" s="315"/>
      <c r="AK78" s="12"/>
    </row>
    <row r="79" spans="1:37" ht="318.75" customHeight="1">
      <c r="A79" s="317"/>
      <c r="B79" s="232"/>
      <c r="C79" s="322"/>
      <c r="D79" s="322"/>
      <c r="E79" s="323"/>
      <c r="F79" s="232"/>
      <c r="G79" s="232"/>
      <c r="H79" s="226"/>
      <c r="I79" s="225"/>
      <c r="J79" s="224"/>
      <c r="K79" s="225">
        <f ca="1">IF(NOT(ISERROR(MATCH(J79,_xlfn.ANCHORARRAY(E82),0))),#REF!&amp;"Por favor no seleccionar los criterios de impacto",J79)</f>
        <v>0</v>
      </c>
      <c r="L79" s="226"/>
      <c r="M79" s="225"/>
      <c r="N79" s="227"/>
      <c r="O79" s="23">
        <v>2</v>
      </c>
      <c r="P79" s="47" t="s">
        <v>148</v>
      </c>
      <c r="Q79" s="44" t="s">
        <v>149</v>
      </c>
      <c r="R79" s="45" t="str">
        <f t="shared" si="69"/>
        <v>Probabilidad</v>
      </c>
      <c r="S79" s="12" t="s">
        <v>61</v>
      </c>
      <c r="T79" s="12" t="s">
        <v>62</v>
      </c>
      <c r="U79" s="46" t="str">
        <f t="shared" ref="U79" si="80">IF(AND(S79="Preventivo",T79="Automático"),"50%",IF(AND(S79="Preventivo",T79="Manual"),"40%",IF(AND(S79="Detectivo",T79="Automático"),"40%",IF(AND(S79="Detectivo",T79="Manual"),"30%",IF(AND(S79="Correctivo",T79="Automático"),"35%",IF(AND(S79="Correctivo",T79="Manual"),"25%",""))))))</f>
        <v>40%</v>
      </c>
      <c r="V79" s="12" t="s">
        <v>63</v>
      </c>
      <c r="W79" s="12" t="s">
        <v>64</v>
      </c>
      <c r="X79" s="12" t="s">
        <v>65</v>
      </c>
      <c r="Y79" s="26">
        <f t="shared" si="70"/>
        <v>0</v>
      </c>
      <c r="Z79" s="19" t="str">
        <f t="shared" si="71"/>
        <v>Muy Baja</v>
      </c>
      <c r="AA79" s="25">
        <f t="shared" si="72"/>
        <v>0</v>
      </c>
      <c r="AB79" s="19" t="str">
        <f t="shared" si="73"/>
        <v>Leve</v>
      </c>
      <c r="AC79" s="25">
        <f t="shared" si="74"/>
        <v>0</v>
      </c>
      <c r="AD79" s="2" t="str">
        <f t="shared" si="75"/>
        <v>Bajo</v>
      </c>
      <c r="AE79" s="12" t="s">
        <v>66</v>
      </c>
      <c r="AF79" s="274"/>
      <c r="AG79" s="274"/>
      <c r="AH79" s="316"/>
      <c r="AI79" s="316"/>
      <c r="AJ79" s="316"/>
      <c r="AK79" s="12"/>
    </row>
    <row r="80" spans="1:37">
      <c r="A80" s="317">
        <v>3</v>
      </c>
      <c r="B80" s="232"/>
      <c r="C80" s="232"/>
      <c r="D80" s="232"/>
      <c r="E80" s="233"/>
      <c r="F80" s="232"/>
      <c r="G80" s="232"/>
      <c r="H80" s="226" t="str">
        <f>IF(G80="","",IF('[4]Mapa final'!G59='[4]Tabla probabilidad'!$C$4,"MUY BAJA",IF('[4]Mapa final'!G59='[4]Tabla probabilidad'!$C$5,"BAJA",IF('[4]Mapa final'!G59='[4]Tabla probabilidad'!$C$6,"MEDIA",IF('[4]Mapa final'!G59='[4]Tabla probabilidad'!$C$7,"ALTA",IF('[4]Mapa final'!G59='[4]Tabla probabilidad'!$C$8,"MUY ALTA"))))))</f>
        <v/>
      </c>
      <c r="I80" s="225" t="str">
        <f t="shared" ref="I80" si="81">IF(H80="","",IF(H80="Muy Baja",0.2,IF(H80="Baja",0.4,IF(H80="Media",0.6,IF(H80="Alta",0.8,IF(H80="Muy Alta",1,))))))</f>
        <v/>
      </c>
      <c r="J80" s="224"/>
      <c r="K80" s="225" t="str">
        <f>IF(J80="","",IF(NOT(ISERROR(MATCH(J80,'[4]Tabla Impacto'!$B$37:$B$39,0))),'[4]Tabla Impacto'!$F$37&amp;"Por favor no seleccionar los criterios de impacto(Afectación Económica o presupuestal y Pérdida Reputacional)",J80))</f>
        <v/>
      </c>
      <c r="L80" s="226" t="str">
        <f>IF(OR(J80='[4]Tabla Impacto'!$F$25,J80='[4]Tabla Impacto'!$F$31),"Leve",IF(OR(J80='[4]Tabla Impacto'!$F$26,J80='[4]Tabla Impacto'!$F$32),"Menor",IF(OR(J80='[4]Tabla Impacto'!$F$27,J80='[4]Tabla Impacto'!$F$33,J80='[4]Tabla Impacto'!$F$37),"Moderado",IF(OR(J80='[4]Tabla Impacto'!$F$28,J80='[4]Tabla Impacto'!$F$34,J80='[4]Tabla Impacto'!$F$38),"Mayor",IF(OR(J80='[4]Tabla Impacto'!$F$29,J80='[4]Tabla Impacto'!$F$35,J80='[4]Tabla Impacto'!$F$39),"Catastrófico","")))))</f>
        <v/>
      </c>
      <c r="M80" s="225" t="str">
        <f t="shared" ref="M80" si="82">IF(L80="","",IF(L80="Leve",0.2,IF(L80="Menor",0.4,IF(L80="Moderado",0.6,IF(L80="Mayor",0.8,IF(L80="Catastrófico",1,))))))</f>
        <v/>
      </c>
      <c r="N80" s="227" t="str">
        <f t="shared" ref="N80" si="83">IF(OR(AND(H80="Muy Baja",L80="Leve"),AND(H80="Muy Baja",L80="Menor"),AND(H80="Baja",L80="Leve")),"Bajo",IF(OR(AND(H80="Muy baja",L80="Moderado"),AND(H80="Baja",L80="Menor"),AND(H80="Baja",L80="Moderado"),AND(H80="Media",L80="Leve"),AND(H80="Media",L80="Menor"),AND(H80="Media",L80="Moderado"),AND(H80="Alta",L80="Leve"),AND(H80="Alta",L80="Menor")),"Moderado",IF(OR(AND(H80="Muy Baja",L80="Mayor"),AND(H80="Baja",L80="Mayor"),AND(H80="Media",L80="Mayor"),AND(H80="Alta",L80="Moderado"),AND(H80="Alta",L80="Mayor"),AND(H80="Muy Alta",L80="Leve"),AND(H80="Muy Alta",L80="Menor"),AND(H80="Muy Alta",L80="Moderado"),AND(H80="Muy Alta",L80="Mayor")),"Alto",IF(OR(AND(H80="Muy Baja",L80="Catastrófico"),AND(H80="Baja",L80="Catastrófico"),AND(H80="Media",L80="Catastrófico"),AND(H80="Alta",L80="Catastrófico"),AND(H80="Muy Alta",L80="Catastrófico")),"Extremo",""))))</f>
        <v/>
      </c>
      <c r="O80" s="23">
        <v>1</v>
      </c>
      <c r="P80" s="24"/>
      <c r="Q80" s="24"/>
      <c r="R80" s="23" t="str">
        <f t="shared" si="69"/>
        <v/>
      </c>
      <c r="S80" s="12"/>
      <c r="T80" s="12"/>
      <c r="U80" s="25" t="str">
        <f>IF(AND(S80="Preventivo",T80="Automático"),"50%",IF(AND(S80="Preventivo",T80="Manual"),"40%",IF(AND(S80="Detectivo",T80="Automático"),"40%",IF(AND(S80="Detectivo",T80="Manual"),"30%",IF(AND(S80="Correctivo",T80="Automático"),"35%",IF(AND(S80="Correctivo",T80="Manual"),"25%",""))))))</f>
        <v/>
      </c>
      <c r="V80" s="12"/>
      <c r="W80" s="12"/>
      <c r="X80" s="12"/>
      <c r="Y80" s="26" t="str">
        <f t="shared" si="70"/>
        <v/>
      </c>
      <c r="Z80" s="19" t="str">
        <f>IFERROR(IF(Y80="","",IF(Y80&lt;=0.2,"Muy Baja",IF(Y80&lt;=0.4,"Baja",IF(Y80&lt;=0.6,"Media",IF(Y80&lt;=0.8,"Alta","Muy Alta"))))),"")</f>
        <v/>
      </c>
      <c r="AA80" s="25" t="str">
        <f>+Y80</f>
        <v/>
      </c>
      <c r="AB80" s="19" t="str">
        <f>IFERROR(IF(AC80="","",IF(AC80&lt;=0.2,"Leve",IF(AC80&lt;=0.4,"Menor",IF(AC80&lt;=0.6,"Moderado",IF(AC80&lt;=0.8,"Mayor","Catastrófico"))))),"")</f>
        <v/>
      </c>
      <c r="AC80" s="25" t="str">
        <f t="shared" si="74"/>
        <v/>
      </c>
      <c r="AD80" s="2" t="str">
        <f>IFERROR(IF(OR(AND(Z80="Muy Baja",AB80="Leve"),AND(Z80="Muy Baja",AB80="Menor"),AND(Z80="Baja",AB80="Leve")),"Bajo",IF(OR(AND(Z80="Muy baja",AB80="Moderado"),AND(Z80="Baja",AB80="Menor"),AND(Z80="Baja",AB80="Moderado"),AND(Z80="Media",AB80="Leve"),AND(Z80="Media",AB80="Menor"),AND(Z80="Media",AB80="Moderado"),AND(Z80="Alta",AB80="Leve"),AND(Z80="Alta",AB80="Menor")),"Moderado",IF(OR(AND(Z80="Muy Baja",AB80="Mayor"),AND(Z80="Baja",AB80="Mayor"),AND(Z80="Media",AB80="Mayor"),AND(Z80="Alta",AB80="Moderado"),AND(Z80="Alta",AB80="Mayor"),AND(Z80="Muy Alta",AB80="Leve"),AND(Z80="Muy Alta",AB80="Menor"),AND(Z80="Muy Alta",AB80="Moderado"),AND(Z80="Muy Alta",AB80="Mayor")),"Alto",IF(OR(AND(Z80="Muy Baja",AB80="Catastrófico"),AND(Z80="Baja",AB80="Catastrófico"),AND(Z80="Media",AB80="Catastrófico"),AND(Z80="Alta",AB80="Catastrófico"),AND(Z80="Muy Alta",AB80="Catastrófico")),"Extremo","")))),"")</f>
        <v/>
      </c>
      <c r="AE80" s="12"/>
      <c r="AF80" s="18"/>
      <c r="AG80" s="12"/>
      <c r="AH80" s="27"/>
      <c r="AI80" s="27"/>
      <c r="AJ80" s="18"/>
      <c r="AK80" s="12"/>
    </row>
    <row r="81" spans="1:37">
      <c r="A81" s="317"/>
      <c r="B81" s="232"/>
      <c r="C81" s="232"/>
      <c r="D81" s="232"/>
      <c r="E81" s="233"/>
      <c r="F81" s="232"/>
      <c r="G81" s="232"/>
      <c r="H81" s="226"/>
      <c r="I81" s="225"/>
      <c r="J81" s="224"/>
      <c r="K81" s="225">
        <f ca="1">IF(NOT(ISERROR(MATCH(J81,_xlfn.ANCHORARRAY(E84),0))),#REF!&amp;"Por favor no seleccionar los criterios de impacto",J81)</f>
        <v>0</v>
      </c>
      <c r="L81" s="226"/>
      <c r="M81" s="225"/>
      <c r="N81" s="227"/>
      <c r="O81" s="23">
        <v>2</v>
      </c>
      <c r="P81" s="24"/>
      <c r="Q81" s="24"/>
      <c r="R81" s="23" t="str">
        <f t="shared" si="69"/>
        <v/>
      </c>
      <c r="S81" s="12"/>
      <c r="T81" s="12"/>
      <c r="U81" s="25" t="str">
        <f t="shared" ref="U81" si="84">IF(AND(S81="Preventivo",T81="Automático"),"50%",IF(AND(S81="Preventivo",T81="Manual"),"40%",IF(AND(S81="Detectivo",T81="Automático"),"40%",IF(AND(S81="Detectivo",T81="Manual"),"30%",IF(AND(S81="Correctivo",T81="Automático"),"35%",IF(AND(S81="Correctivo",T81="Manual"),"25%",""))))))</f>
        <v/>
      </c>
      <c r="V81" s="12"/>
      <c r="W81" s="12"/>
      <c r="X81" s="12"/>
      <c r="Y81" s="26" t="str">
        <f t="shared" si="70"/>
        <v/>
      </c>
      <c r="Z81" s="19" t="str">
        <f t="shared" ref="Z81:Z83" si="85">IFERROR(IF(Y81="","",IF(Y81&lt;=0.2,"Muy Baja",IF(Y81&lt;=0.4,"Baja",IF(Y81&lt;=0.6,"Media",IF(Y81&lt;=0.8,"Alta","Muy Alta"))))),"")</f>
        <v/>
      </c>
      <c r="AA81" s="25" t="str">
        <f t="shared" ref="AA81" si="86">+Y81</f>
        <v/>
      </c>
      <c r="AB81" s="19" t="str">
        <f t="shared" ref="AB81:AB83" si="87">IFERROR(IF(AC81="","",IF(AC81&lt;=0.2,"Leve",IF(AC81&lt;=0.4,"Menor",IF(AC81&lt;=0.6,"Moderado",IF(AC81&lt;=0.8,"Mayor","Catastrófico"))))),"")</f>
        <v/>
      </c>
      <c r="AC81" s="25" t="str">
        <f t="shared" si="74"/>
        <v/>
      </c>
      <c r="AD81" s="2" t="str">
        <f t="shared" ref="AD81" si="88">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
      </c>
      <c r="AE81" s="12"/>
      <c r="AF81" s="18"/>
      <c r="AG81" s="12"/>
      <c r="AH81" s="27"/>
      <c r="AI81" s="27"/>
      <c r="AJ81" s="18"/>
      <c r="AK81" s="12"/>
    </row>
    <row r="82" spans="1:37">
      <c r="A82" s="317">
        <v>4</v>
      </c>
      <c r="B82" s="232"/>
      <c r="C82" s="232"/>
      <c r="D82" s="232"/>
      <c r="E82" s="233"/>
      <c r="F82" s="232"/>
      <c r="G82" s="232"/>
      <c r="H82" s="226" t="str">
        <f>IF(G82="","",IF('[4]Mapa final'!G61='[4]Tabla probabilidad'!$C$4,"MUY BAJA",IF('[4]Mapa final'!G61='[4]Tabla probabilidad'!$C$5,"BAJA",IF('[4]Mapa final'!G61='[4]Tabla probabilidad'!$C$6,"MEDIA",IF('[4]Mapa final'!G61='[4]Tabla probabilidad'!$C$7,"ALTA",IF('[4]Mapa final'!G61='[4]Tabla probabilidad'!$C$8,"MUY ALTA"))))))</f>
        <v/>
      </c>
      <c r="I82" s="225" t="str">
        <f t="shared" ref="I82" si="89">IF(H82="","",IF(H82="Muy Baja",0.2,IF(H82="Baja",0.4,IF(H82="Media",0.6,IF(H82="Alta",0.8,IF(H82="Muy Alta",1,))))))</f>
        <v/>
      </c>
      <c r="J82" s="224"/>
      <c r="K82" s="225" t="str">
        <f>IF(J82="","",IF(NOT(ISERROR(MATCH(J82,'[4]Tabla Impacto'!$B$37:$B$39,0))),'[4]Tabla Impacto'!$F$37&amp;"Por favor no seleccionar los criterios de impacto(Afectación Económica o presupuestal y Pérdida Reputacional)",J82))</f>
        <v/>
      </c>
      <c r="L82" s="226" t="str">
        <f>IF(OR(J82='[4]Tabla Impacto'!$F$25,J82='[4]Tabla Impacto'!$F$31),"Leve",IF(OR(J82='[4]Tabla Impacto'!$F$26,J82='[4]Tabla Impacto'!$F$32),"Menor",IF(OR(J82='[4]Tabla Impacto'!$F$27,J82='[4]Tabla Impacto'!$F$33,J82='[4]Tabla Impacto'!$F$37),"Moderado",IF(OR(J82='[4]Tabla Impacto'!$F$28,J82='[4]Tabla Impacto'!$F$34,J82='[4]Tabla Impacto'!$F$38),"Mayor",IF(OR(J82='[4]Tabla Impacto'!$F$29,J82='[4]Tabla Impacto'!$F$35,J82='[4]Tabla Impacto'!$F$39),"Catastrófico","")))))</f>
        <v/>
      </c>
      <c r="M82" s="225" t="str">
        <f t="shared" ref="M82" si="90">IF(L82="","",IF(L82="Leve",0.2,IF(L82="Menor",0.4,IF(L82="Moderado",0.6,IF(L82="Mayor",0.8,IF(L82="Catastrófico",1,))))))</f>
        <v/>
      </c>
      <c r="N82" s="227" t="str">
        <f t="shared" ref="N82" si="91">IF(OR(AND(H82="Muy Baja",L82="Leve"),AND(H82="Muy Baja",L82="Menor"),AND(H82="Baja",L82="Leve")),"Bajo",IF(OR(AND(H82="Muy baja",L82="Moderado"),AND(H82="Baja",L82="Menor"),AND(H82="Baja",L82="Moderado"),AND(H82="Media",L82="Leve"),AND(H82="Media",L82="Menor"),AND(H82="Media",L82="Moderado"),AND(H82="Alta",L82="Leve"),AND(H82="Alta",L82="Menor")),"Moderado",IF(OR(AND(H82="Muy Baja",L82="Mayor"),AND(H82="Baja",L82="Mayor"),AND(H82="Media",L82="Mayor"),AND(H82="Alta",L82="Moderado"),AND(H82="Alta",L82="Mayor"),AND(H82="Muy Alta",L82="Leve"),AND(H82="Muy Alta",L82="Menor"),AND(H82="Muy Alta",L82="Moderado"),AND(H82="Muy Alta",L82="Mayor")),"Alto",IF(OR(AND(H82="Muy Baja",L82="Catastrófico"),AND(H82="Baja",L82="Catastrófico"),AND(H82="Media",L82="Catastrófico"),AND(H82="Alta",L82="Catastrófico"),AND(H82="Muy Alta",L82="Catastrófico")),"Extremo",""))))</f>
        <v/>
      </c>
      <c r="O82" s="23">
        <v>1</v>
      </c>
      <c r="P82" s="24"/>
      <c r="Q82" s="24"/>
      <c r="R82" s="23" t="str">
        <f t="shared" si="69"/>
        <v/>
      </c>
      <c r="S82" s="12"/>
      <c r="T82" s="12"/>
      <c r="U82" s="25" t="str">
        <f>IF(AND(S82="Preventivo",T82="Automático"),"50%",IF(AND(S82="Preventivo",T82="Manual"),"40%",IF(AND(S82="Detectivo",T82="Automático"),"40%",IF(AND(S82="Detectivo",T82="Manual"),"30%",IF(AND(S82="Correctivo",T82="Automático"),"35%",IF(AND(S82="Correctivo",T82="Manual"),"25%",""))))))</f>
        <v/>
      </c>
      <c r="V82" s="12"/>
      <c r="W82" s="12"/>
      <c r="X82" s="12"/>
      <c r="Y82" s="26" t="str">
        <f t="shared" si="70"/>
        <v/>
      </c>
      <c r="Z82" s="19" t="str">
        <f>IFERROR(IF(Y82="","",IF(Y82&lt;=0.2,"Muy Baja",IF(Y82&lt;=0.4,"Baja",IF(Y82&lt;=0.6,"Media",IF(Y82&lt;=0.8,"Alta","Muy Alta"))))),"")</f>
        <v/>
      </c>
      <c r="AA82" s="25" t="str">
        <f>+Y82</f>
        <v/>
      </c>
      <c r="AB82" s="19" t="str">
        <f>IFERROR(IF(AC82="","",IF(AC82&lt;=0.2,"Leve",IF(AC82&lt;=0.4,"Menor",IF(AC82&lt;=0.6,"Moderado",IF(AC82&lt;=0.8,"Mayor","Catastrófico"))))),"")</f>
        <v/>
      </c>
      <c r="AC82" s="25" t="str">
        <f t="shared" si="74"/>
        <v/>
      </c>
      <c r="AD82" s="2" t="str">
        <f>IFERROR(IF(OR(AND(Z82="Muy Baja",AB82="Leve"),AND(Z82="Muy Baja",AB82="Menor"),AND(Z82="Baja",AB82="Leve")),"Bajo",IF(OR(AND(Z82="Muy baja",AB82="Moderado"),AND(Z82="Baja",AB82="Menor"),AND(Z82="Baja",AB82="Moderado"),AND(Z82="Media",AB82="Leve"),AND(Z82="Media",AB82="Menor"),AND(Z82="Media",AB82="Moderado"),AND(Z82="Alta",AB82="Leve"),AND(Z82="Alta",AB82="Menor")),"Moderado",IF(OR(AND(Z82="Muy Baja",AB82="Mayor"),AND(Z82="Baja",AB82="Mayor"),AND(Z82="Media",AB82="Mayor"),AND(Z82="Alta",AB82="Moderado"),AND(Z82="Alta",AB82="Mayor"),AND(Z82="Muy Alta",AB82="Leve"),AND(Z82="Muy Alta",AB82="Menor"),AND(Z82="Muy Alta",AB82="Moderado"),AND(Z82="Muy Alta",AB82="Mayor")),"Alto",IF(OR(AND(Z82="Muy Baja",AB82="Catastrófico"),AND(Z82="Baja",AB82="Catastrófico"),AND(Z82="Media",AB82="Catastrófico"),AND(Z82="Alta",AB82="Catastrófico"),AND(Z82="Muy Alta",AB82="Catastrófico")),"Extremo","")))),"")</f>
        <v/>
      </c>
      <c r="AE82" s="12"/>
      <c r="AF82" s="18"/>
      <c r="AG82" s="12"/>
      <c r="AH82" s="27"/>
      <c r="AI82" s="27"/>
      <c r="AJ82" s="18"/>
      <c r="AK82" s="12"/>
    </row>
    <row r="83" spans="1:37">
      <c r="A83" s="317"/>
      <c r="B83" s="232"/>
      <c r="C83" s="232"/>
      <c r="D83" s="232"/>
      <c r="E83" s="233"/>
      <c r="F83" s="232"/>
      <c r="G83" s="232"/>
      <c r="H83" s="226"/>
      <c r="I83" s="225"/>
      <c r="J83" s="224"/>
      <c r="K83" s="225">
        <f ca="1">IF(NOT(ISERROR(MATCH(J83,_xlfn.ANCHORARRAY(E85),0))),#REF!&amp;"Por favor no seleccionar los criterios de impacto",J83)</f>
        <v>0</v>
      </c>
      <c r="L83" s="226"/>
      <c r="M83" s="225"/>
      <c r="N83" s="227"/>
      <c r="O83" s="23">
        <v>2</v>
      </c>
      <c r="P83" s="24"/>
      <c r="Q83" s="24"/>
      <c r="R83" s="23" t="str">
        <f t="shared" si="69"/>
        <v/>
      </c>
      <c r="S83" s="12"/>
      <c r="T83" s="12"/>
      <c r="U83" s="25" t="str">
        <f t="shared" ref="U83" si="92">IF(AND(S83="Preventivo",T83="Automático"),"50%",IF(AND(S83="Preventivo",T83="Manual"),"40%",IF(AND(S83="Detectivo",T83="Automático"),"40%",IF(AND(S83="Detectivo",T83="Manual"),"30%",IF(AND(S83="Correctivo",T83="Automático"),"35%",IF(AND(S83="Correctivo",T83="Manual"),"25%",""))))))</f>
        <v/>
      </c>
      <c r="V83" s="12"/>
      <c r="W83" s="12"/>
      <c r="X83" s="12"/>
      <c r="Y83" s="26" t="str">
        <f t="shared" si="70"/>
        <v/>
      </c>
      <c r="Z83" s="19" t="str">
        <f t="shared" si="85"/>
        <v/>
      </c>
      <c r="AA83" s="25" t="str">
        <f t="shared" ref="AA83" si="93">+Y83</f>
        <v/>
      </c>
      <c r="AB83" s="19" t="str">
        <f t="shared" si="87"/>
        <v/>
      </c>
      <c r="AC83" s="25" t="str">
        <f t="shared" si="74"/>
        <v/>
      </c>
      <c r="AD83" s="2" t="str">
        <f t="shared" ref="AD83" si="94">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
      </c>
      <c r="AE83" s="12"/>
      <c r="AF83" s="18"/>
      <c r="AG83" s="12"/>
      <c r="AH83" s="27"/>
      <c r="AI83" s="27"/>
      <c r="AJ83" s="18"/>
      <c r="AK83" s="12"/>
    </row>
    <row r="84" spans="1:37">
      <c r="A84" s="228" t="s">
        <v>97</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30"/>
    </row>
    <row r="85" spans="1:37" ht="15" customHeight="1">
      <c r="A85" s="28"/>
      <c r="B85" s="29" t="s">
        <v>98</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c r="A86" s="40"/>
      <c r="B86" s="40"/>
      <c r="C86" s="40"/>
      <c r="D86" s="40"/>
      <c r="E86" s="42"/>
      <c r="F86" s="40"/>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row>
    <row r="87" spans="1:37">
      <c r="A87" s="40"/>
      <c r="B87" s="40"/>
      <c r="C87" s="40"/>
      <c r="D87" s="40"/>
      <c r="E87" s="42"/>
      <c r="F87" s="40"/>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row>
    <row r="91" spans="1:37" ht="21">
      <c r="A91" s="348" t="s">
        <v>385</v>
      </c>
      <c r="B91" s="349"/>
      <c r="C91" s="349"/>
      <c r="D91" s="349"/>
    </row>
    <row r="97" spans="1:37" ht="16.5">
      <c r="A97" s="231"/>
      <c r="B97" s="231"/>
      <c r="C97" s="231"/>
      <c r="D97" s="231"/>
      <c r="E97" s="227" t="s">
        <v>0</v>
      </c>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53" t="s">
        <v>1</v>
      </c>
      <c r="AI97" s="253"/>
      <c r="AJ97" s="253"/>
      <c r="AK97" s="253"/>
    </row>
    <row r="98" spans="1:37" ht="16.5">
      <c r="A98" s="231"/>
      <c r="B98" s="231"/>
      <c r="C98" s="231"/>
      <c r="D98" s="231"/>
      <c r="E98" s="227" t="s">
        <v>2</v>
      </c>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53" t="s">
        <v>3</v>
      </c>
      <c r="AI98" s="253"/>
      <c r="AJ98" s="253"/>
      <c r="AK98" s="253"/>
    </row>
    <row r="99" spans="1:37" ht="16.5">
      <c r="A99" s="231"/>
      <c r="B99" s="231"/>
      <c r="C99" s="231"/>
      <c r="D99" s="231"/>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53" t="s">
        <v>4</v>
      </c>
      <c r="AI99" s="253"/>
      <c r="AJ99" s="253"/>
      <c r="AK99" s="253"/>
    </row>
    <row r="100" spans="1:37" ht="16.5">
      <c r="A100" s="3"/>
      <c r="B100" s="4"/>
      <c r="C100" s="3"/>
      <c r="D100" s="3"/>
      <c r="E100" s="5"/>
      <c r="F100" s="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30.75" customHeight="1">
      <c r="A101" s="254" t="s">
        <v>5</v>
      </c>
      <c r="B101" s="254"/>
      <c r="C101" s="255" t="s">
        <v>150</v>
      </c>
      <c r="D101" s="255"/>
      <c r="E101" s="255"/>
      <c r="F101" s="255"/>
      <c r="G101" s="255"/>
      <c r="H101" s="254" t="s">
        <v>7</v>
      </c>
      <c r="I101" s="254"/>
      <c r="J101" s="255" t="s">
        <v>151</v>
      </c>
      <c r="K101" s="255"/>
      <c r="L101" s="255"/>
      <c r="M101" s="255"/>
      <c r="N101" s="255"/>
      <c r="O101" s="254" t="s">
        <v>9</v>
      </c>
      <c r="P101" s="254"/>
      <c r="Q101" s="289" t="s">
        <v>152</v>
      </c>
      <c r="R101" s="290"/>
      <c r="S101" s="290"/>
      <c r="T101" s="290"/>
      <c r="U101" s="290"/>
      <c r="V101" s="290"/>
      <c r="W101" s="290"/>
      <c r="X101" s="290"/>
      <c r="Y101" s="290"/>
      <c r="Z101" s="290"/>
      <c r="AA101" s="290"/>
      <c r="AB101" s="290"/>
      <c r="AC101" s="290"/>
      <c r="AD101" s="290"/>
      <c r="AE101" s="291"/>
      <c r="AF101" s="154" t="s">
        <v>11</v>
      </c>
      <c r="AG101" s="314" t="s">
        <v>153</v>
      </c>
      <c r="AH101" s="314"/>
      <c r="AI101" s="314"/>
      <c r="AJ101" s="314"/>
      <c r="AK101" s="314"/>
    </row>
    <row r="102" spans="1:37">
      <c r="A102" s="245" t="s">
        <v>13</v>
      </c>
      <c r="B102" s="245"/>
      <c r="C102" s="245"/>
      <c r="D102" s="245"/>
      <c r="E102" s="245"/>
      <c r="F102" s="245"/>
      <c r="G102" s="245"/>
      <c r="H102" s="248" t="s">
        <v>14</v>
      </c>
      <c r="I102" s="248"/>
      <c r="J102" s="248"/>
      <c r="K102" s="248"/>
      <c r="L102" s="248"/>
      <c r="M102" s="248"/>
      <c r="N102" s="248"/>
      <c r="O102" s="261" t="s">
        <v>15</v>
      </c>
      <c r="P102" s="261"/>
      <c r="Q102" s="261"/>
      <c r="R102" s="261"/>
      <c r="S102" s="261"/>
      <c r="T102" s="261"/>
      <c r="U102" s="261"/>
      <c r="V102" s="261"/>
      <c r="W102" s="261"/>
      <c r="X102" s="261"/>
      <c r="Y102" s="262" t="s">
        <v>16</v>
      </c>
      <c r="Z102" s="262"/>
      <c r="AA102" s="262"/>
      <c r="AB102" s="262"/>
      <c r="AC102" s="262"/>
      <c r="AD102" s="262"/>
      <c r="AE102" s="262"/>
      <c r="AF102" s="243" t="s">
        <v>17</v>
      </c>
      <c r="AG102" s="243"/>
      <c r="AH102" s="243"/>
      <c r="AI102" s="243"/>
      <c r="AJ102" s="243"/>
      <c r="AK102" s="243"/>
    </row>
    <row r="103" spans="1:37">
      <c r="A103" s="244" t="s">
        <v>18</v>
      </c>
      <c r="B103" s="245" t="s">
        <v>19</v>
      </c>
      <c r="C103" s="246" t="s">
        <v>20</v>
      </c>
      <c r="D103" s="246" t="s">
        <v>21</v>
      </c>
      <c r="E103" s="245" t="s">
        <v>22</v>
      </c>
      <c r="F103" s="246" t="s">
        <v>23</v>
      </c>
      <c r="G103" s="246" t="s">
        <v>24</v>
      </c>
      <c r="H103" s="247" t="s">
        <v>25</v>
      </c>
      <c r="I103" s="248" t="s">
        <v>26</v>
      </c>
      <c r="J103" s="247" t="s">
        <v>27</v>
      </c>
      <c r="K103" s="247" t="s">
        <v>28</v>
      </c>
      <c r="L103" s="247" t="s">
        <v>29</v>
      </c>
      <c r="M103" s="248" t="s">
        <v>26</v>
      </c>
      <c r="N103" s="247" t="s">
        <v>30</v>
      </c>
      <c r="O103" s="249" t="s">
        <v>31</v>
      </c>
      <c r="P103" s="237" t="s">
        <v>32</v>
      </c>
      <c r="Q103" s="251" t="s">
        <v>33</v>
      </c>
      <c r="R103" s="237" t="s">
        <v>34</v>
      </c>
      <c r="S103" s="237" t="s">
        <v>35</v>
      </c>
      <c r="T103" s="237"/>
      <c r="U103" s="237"/>
      <c r="V103" s="237"/>
      <c r="W103" s="237"/>
      <c r="X103" s="237"/>
      <c r="Y103" s="236" t="s">
        <v>36</v>
      </c>
      <c r="Z103" s="236" t="s">
        <v>37</v>
      </c>
      <c r="AA103" s="236" t="s">
        <v>26</v>
      </c>
      <c r="AB103" s="236" t="s">
        <v>38</v>
      </c>
      <c r="AC103" s="236" t="s">
        <v>26</v>
      </c>
      <c r="AD103" s="236" t="s">
        <v>39</v>
      </c>
      <c r="AE103" s="236" t="s">
        <v>40</v>
      </c>
      <c r="AF103" s="250" t="s">
        <v>17</v>
      </c>
      <c r="AG103" s="250" t="s">
        <v>41</v>
      </c>
      <c r="AH103" s="250" t="s">
        <v>42</v>
      </c>
      <c r="AI103" s="250" t="s">
        <v>43</v>
      </c>
      <c r="AJ103" s="250" t="s">
        <v>44</v>
      </c>
      <c r="AK103" s="250" t="s">
        <v>45</v>
      </c>
    </row>
    <row r="104" spans="1:37" ht="81.75">
      <c r="A104" s="244"/>
      <c r="B104" s="245"/>
      <c r="C104" s="246"/>
      <c r="D104" s="246"/>
      <c r="E104" s="245"/>
      <c r="F104" s="246"/>
      <c r="G104" s="246"/>
      <c r="H104" s="247"/>
      <c r="I104" s="248"/>
      <c r="J104" s="247"/>
      <c r="K104" s="247"/>
      <c r="L104" s="248"/>
      <c r="M104" s="248"/>
      <c r="N104" s="247"/>
      <c r="O104" s="249"/>
      <c r="P104" s="237"/>
      <c r="Q104" s="252"/>
      <c r="R104" s="237"/>
      <c r="S104" s="7" t="s">
        <v>46</v>
      </c>
      <c r="T104" s="7" t="s">
        <v>47</v>
      </c>
      <c r="U104" s="7" t="s">
        <v>48</v>
      </c>
      <c r="V104" s="7" t="s">
        <v>49</v>
      </c>
      <c r="W104" s="7" t="s">
        <v>50</v>
      </c>
      <c r="X104" s="7" t="s">
        <v>51</v>
      </c>
      <c r="Y104" s="236"/>
      <c r="Z104" s="236"/>
      <c r="AA104" s="236"/>
      <c r="AB104" s="236"/>
      <c r="AC104" s="236"/>
      <c r="AD104" s="236"/>
      <c r="AE104" s="236"/>
      <c r="AF104" s="250"/>
      <c r="AG104" s="250"/>
      <c r="AH104" s="250"/>
      <c r="AI104" s="250"/>
      <c r="AJ104" s="250"/>
      <c r="AK104" s="250"/>
    </row>
    <row r="105" spans="1:37" ht="330.75">
      <c r="A105" s="310">
        <v>1</v>
      </c>
      <c r="B105" s="232" t="s">
        <v>71</v>
      </c>
      <c r="C105" s="312" t="s">
        <v>154</v>
      </c>
      <c r="D105" s="312" t="s">
        <v>155</v>
      </c>
      <c r="E105" s="305" t="s">
        <v>156</v>
      </c>
      <c r="F105" s="232" t="s">
        <v>56</v>
      </c>
      <c r="G105" s="232" t="s">
        <v>57</v>
      </c>
      <c r="H105" s="226" t="b">
        <f>IF(G105="","",IF('[5]Mapa final'!G84='[5]Tabla probabilidad'!$C$4,"MUY BAJA",IF('[5]Mapa final'!G84='[5]Tabla probabilidad'!$C$5,"BAJA",IF('[5]Mapa final'!G84='[5]Tabla probabilidad'!$C$6,"MEDIA",IF('[5]Mapa final'!G84='[5]Tabla probabilidad'!$C$7,"ALTA",IF('[5]Mapa final'!G84='[5]Tabla probabilidad'!$C$8,"MUY ALTA"))))))</f>
        <v>0</v>
      </c>
      <c r="I105" s="225">
        <f t="shared" ref="I105" si="95">IF(H105="","",IF(H105="Muy Baja",0.2,IF(H105="Baja",0.4,IF(H105="Media",0.6,IF(H105="Alta",0.8,IF(H105="Muy Alta",1,))))))</f>
        <v>0</v>
      </c>
      <c r="J105" s="224" t="s">
        <v>77</v>
      </c>
      <c r="K105" s="225" t="str">
        <f>IF(J105="","",IF(NOT(ISERROR(MATCH(J105,'[5]Tabla Impacto'!$B$37:$B$39,0))),'[5]Tabla Impacto'!$F$37&amp;"Por favor no seleccionar los criterios de impacto(Afectación Económica o presupuestal y Pérdida Reputacional)",J105))</f>
        <v xml:space="preserve">     El riesgo afecta la imagen de la entidad con algunos usuarios de relevancia frente al logro de los objetivos</v>
      </c>
      <c r="L105" s="226" t="str">
        <f>IF(OR(J105='[5]Tabla Impacto'!$F$25,J105='[5]Tabla Impacto'!$F$31),"Leve",IF(OR(J105='[5]Tabla Impacto'!$F$26,J105='[5]Tabla Impacto'!$F$32),"Menor",IF(OR(J105='[5]Tabla Impacto'!$F$27,J105='[5]Tabla Impacto'!$F$33,J105='[5]Tabla Impacto'!$F$37),"Moderado",IF(OR(J105='[5]Tabla Impacto'!$F$28,J105='[5]Tabla Impacto'!$F$34,J105='[5]Tabla Impacto'!$F$38),"Mayor",IF(OR(J105='[5]Tabla Impacto'!$F$29,J105='[5]Tabla Impacto'!$F$35,J105='[5]Tabla Impacto'!$F$39),"Catastrófico","")))))</f>
        <v>Moderado</v>
      </c>
      <c r="M105" s="225">
        <f t="shared" ref="M105" si="96">IF(L105="","",IF(L105="Leve",0.2,IF(L105="Menor",0.4,IF(L105="Moderado",0.6,IF(L105="Mayor",0.8,IF(L105="Catastrófico",1,))))))</f>
        <v>0.6</v>
      </c>
      <c r="N105" s="227" t="str">
        <f t="shared" ref="N105" si="97">IF(OR(AND(H105="Muy Baja",L105="Leve"),AND(H105="Muy Baja",L105="Menor"),AND(H105="Baja",L105="Leve")),"Bajo",IF(OR(AND(H105="Muy baja",L105="Moderado"),AND(H105="Baja",L105="Menor"),AND(H105="Baja",L105="Moderado"),AND(H105="Media",L105="Leve"),AND(H105="Media",L105="Menor"),AND(H105="Media",L105="Moderado"),AND(H105="Alta",L105="Leve"),AND(H105="Alta",L105="Menor")),"Moderado",IF(OR(AND(H105="Muy Baja",L105="Mayor"),AND(H105="Baja",L105="Mayor"),AND(H105="Media",L105="Mayor"),AND(H105="Alta",L105="Moderado"),AND(H105="Alta",L105="Mayor"),AND(H105="Muy Alta",L105="Leve"),AND(H105="Muy Alta",L105="Menor"),AND(H105="Muy Alta",L105="Moderado"),AND(H105="Muy Alta",L105="Mayor")),"Alto",IF(OR(AND(H105="Muy Baja",L105="Catastrófico"),AND(H105="Baja",L105="Catastrófico"),AND(H105="Media",L105="Catastrófico"),AND(H105="Alta",L105="Catastrófico"),AND(H105="Muy Alta",L105="Catastrófico")),"Extremo",""))))</f>
        <v/>
      </c>
      <c r="O105" s="8">
        <v>1</v>
      </c>
      <c r="P105" s="9" t="s">
        <v>157</v>
      </c>
      <c r="Q105" s="10" t="s">
        <v>158</v>
      </c>
      <c r="R105" s="11" t="str">
        <f t="shared" ref="R105:R112" si="98">IF(OR(S105="Preventivo",S105="Detectivo"),"Probabilidad",IF(S105="Correctivo","Impacto",""))</f>
        <v>Probabilidad</v>
      </c>
      <c r="S105" s="12" t="s">
        <v>61</v>
      </c>
      <c r="T105" s="12" t="s">
        <v>62</v>
      </c>
      <c r="U105" s="25" t="str">
        <f t="shared" ref="U105:U108" si="99">IF(AND(S105="Preventivo",T105="Automático"),"50%",IF(AND(S105="Preventivo",T105="Manual"),"40%",IF(AND(S105="Detectivo",T105="Automático"),"40%",IF(AND(S105="Detectivo",T105="Manual"),"30%",IF(AND(S105="Correctivo",T105="Automático"),"35%",IF(AND(S105="Correctivo",T105="Manual"),"25%",""))))))</f>
        <v>40%</v>
      </c>
      <c r="V105" s="12" t="s">
        <v>63</v>
      </c>
      <c r="W105" s="12" t="s">
        <v>64</v>
      </c>
      <c r="X105" s="12" t="s">
        <v>65</v>
      </c>
      <c r="Y105" s="14">
        <f>IFERROR(IF(R105="Probabilidad",(I105-(+I105*U105)),IF(R105="Impacto",I105,"")),"")</f>
        <v>0</v>
      </c>
      <c r="Z105" s="15" t="str">
        <f>IFERROR(IF(Y105="","",IF(Y105&lt;=0.2,"Muy Baja",IF(Y105&lt;=0.4,"Baja",IF(Y105&lt;=0.6,"Media",IF(Y105&lt;=0.8,"Alta","Muy Alta"))))),"")</f>
        <v>Muy Baja</v>
      </c>
      <c r="AA105" s="13">
        <f>+Y105</f>
        <v>0</v>
      </c>
      <c r="AB105" s="15" t="str">
        <f>IFERROR(IF(AC105="","",IF(AC105&lt;=0.2,"Leve",IF(AC105&lt;=0.4,"Menor",IF(AC105&lt;=0.6,"Moderado",IF(AC105&lt;=0.8,"Mayor","Catastrófico"))))),"")</f>
        <v>Moderado</v>
      </c>
      <c r="AC105" s="13">
        <f>IFERROR(IF(R105="Impacto",(M105-(+M105*U105)),IF(R105="Probabilidad",M105,"")),"")</f>
        <v>0.6</v>
      </c>
      <c r="AD105" s="16" t="str">
        <f>IFERROR(IF(OR(AND(Z105="Muy Baja",AB105="Leve"),AND(Z105="Muy Baja",AB105="Menor"),AND(Z105="Baja",AB105="Leve")),"Bajo",IF(OR(AND(Z105="Muy baja",AB105="Moderado"),AND(Z105="Baja",AB105="Menor"),AND(Z105="Baja",AB105="Moderado"),AND(Z105="Media",AB105="Leve"),AND(Z105="Media",AB105="Menor"),AND(Z105="Media",AB105="Moderado"),AND(Z105="Alta",AB105="Leve"),AND(Z105="Alta",AB105="Menor")),"Moderado",IF(OR(AND(Z105="Muy Baja",AB105="Mayor"),AND(Z105="Baja",AB105="Mayor"),AND(Z105="Media",AB105="Mayor"),AND(Z105="Alta",AB105="Moderado"),AND(Z105="Alta",AB105="Mayor"),AND(Z105="Muy Alta",AB105="Leve"),AND(Z105="Muy Alta",AB105="Menor"),AND(Z105="Muy Alta",AB105="Moderado"),AND(Z105="Muy Alta",AB105="Mayor")),"Alto",IF(OR(AND(Z105="Muy Baja",AB105="Catastrófico"),AND(Z105="Baja",AB105="Catastrófico"),AND(Z105="Media",AB105="Catastrófico"),AND(Z105="Alta",AB105="Catastrófico"),AND(Z105="Muy Alta",AB105="Catastrófico")),"Extremo","")))),"")</f>
        <v>Moderado</v>
      </c>
      <c r="AE105" s="12" t="s">
        <v>66</v>
      </c>
      <c r="AF105" s="299"/>
      <c r="AG105" s="299"/>
      <c r="AH105" s="301"/>
      <c r="AI105" s="301"/>
      <c r="AJ105" s="301"/>
      <c r="AK105" s="12"/>
    </row>
    <row r="106" spans="1:37" ht="409.5">
      <c r="A106" s="310"/>
      <c r="B106" s="232"/>
      <c r="C106" s="312"/>
      <c r="D106" s="312"/>
      <c r="E106" s="305"/>
      <c r="F106" s="232"/>
      <c r="G106" s="232"/>
      <c r="H106" s="226"/>
      <c r="I106" s="225"/>
      <c r="J106" s="224"/>
      <c r="K106" s="225">
        <f ca="1">IF(NOT(ISERROR(MATCH(J106,_xlfn.ANCHORARRAY(E108),0))),#REF!&amp;"Por favor no seleccionar los criterios de impacto",J106)</f>
        <v>0</v>
      </c>
      <c r="L106" s="226"/>
      <c r="M106" s="225"/>
      <c r="N106" s="227"/>
      <c r="O106" s="8">
        <v>2</v>
      </c>
      <c r="P106" s="9" t="s">
        <v>159</v>
      </c>
      <c r="Q106" s="10" t="s">
        <v>160</v>
      </c>
      <c r="R106" s="11" t="str">
        <f t="shared" si="98"/>
        <v>Probabilidad</v>
      </c>
      <c r="S106" s="12" t="s">
        <v>61</v>
      </c>
      <c r="T106" s="12" t="s">
        <v>62</v>
      </c>
      <c r="U106" s="25" t="str">
        <f t="shared" si="99"/>
        <v>40%</v>
      </c>
      <c r="V106" s="12" t="s">
        <v>63</v>
      </c>
      <c r="W106" s="12" t="s">
        <v>64</v>
      </c>
      <c r="X106" s="12" t="s">
        <v>65</v>
      </c>
      <c r="Y106" s="14">
        <f>IFERROR(IF(AND(R105="Probabilidad",R106="Probabilidad"),(AA105-(+AA105*U106)),IF(R106="Probabilidad",(I105-(+I105*U106)),IF(R106="Impacto",AA105,""))),"")</f>
        <v>0</v>
      </c>
      <c r="Z106" s="15" t="str">
        <f t="shared" ref="Z106:Z108" si="100">IFERROR(IF(Y106="","",IF(Y106&lt;=0.2,"Muy Baja",IF(Y106&lt;=0.4,"Baja",IF(Y106&lt;=0.6,"Media",IF(Y106&lt;=0.8,"Alta","Muy Alta"))))),"")</f>
        <v>Muy Baja</v>
      </c>
      <c r="AA106" s="13">
        <f t="shared" ref="AA106" si="101">+Y106</f>
        <v>0</v>
      </c>
      <c r="AB106" s="15" t="str">
        <f t="shared" ref="AB106:AB108" si="102">IFERROR(IF(AC106="","",IF(AC106&lt;=0.2,"Leve",IF(AC106&lt;=0.4,"Menor",IF(AC106&lt;=0.6,"Moderado",IF(AC106&lt;=0.8,"Mayor","Catastrófico"))))),"")</f>
        <v>Moderado</v>
      </c>
      <c r="AC106" s="13">
        <f>IFERROR(IF(AND(R105="Impacto",R106="Impacto"),(AC105-(+AC105*U106)),IF(R106="Impacto",($M$16-(+$M$16*U106)),IF(R106="Probabilidad",AC105,""))),"")</f>
        <v>0.6</v>
      </c>
      <c r="AD106" s="16" t="str">
        <f t="shared" ref="AD106" si="103">IFERROR(IF(OR(AND(Z106="Muy Baja",AB106="Leve"),AND(Z106="Muy Baja",AB106="Menor"),AND(Z106="Baja",AB106="Leve")),"Bajo",IF(OR(AND(Z106="Muy baja",AB106="Moderado"),AND(Z106="Baja",AB106="Menor"),AND(Z106="Baja",AB106="Moderado"),AND(Z106="Media",AB106="Leve"),AND(Z106="Media",AB106="Menor"),AND(Z106="Media",AB106="Moderado"),AND(Z106="Alta",AB106="Leve"),AND(Z106="Alta",AB106="Menor")),"Moderado",IF(OR(AND(Z106="Muy Baja",AB106="Mayor"),AND(Z106="Baja",AB106="Mayor"),AND(Z106="Media",AB106="Mayor"),AND(Z106="Alta",AB106="Moderado"),AND(Z106="Alta",AB106="Mayor"),AND(Z106="Muy Alta",AB106="Leve"),AND(Z106="Muy Alta",AB106="Menor"),AND(Z106="Muy Alta",AB106="Moderado"),AND(Z106="Muy Alta",AB106="Mayor")),"Alto",IF(OR(AND(Z106="Muy Baja",AB106="Catastrófico"),AND(Z106="Baja",AB106="Catastrófico"),AND(Z106="Media",AB106="Catastrófico"),AND(Z106="Alta",AB106="Catastrófico"),AND(Z106="Muy Alta",AB106="Catastrófico")),"Extremo","")))),"")</f>
        <v>Moderado</v>
      </c>
      <c r="AE106" s="12" t="s">
        <v>66</v>
      </c>
      <c r="AF106" s="300"/>
      <c r="AG106" s="300"/>
      <c r="AH106" s="302"/>
      <c r="AI106" s="302"/>
      <c r="AJ106" s="302"/>
      <c r="AK106" s="12"/>
    </row>
    <row r="107" spans="1:37" ht="330.75">
      <c r="A107" s="310">
        <v>2</v>
      </c>
      <c r="B107" s="232" t="s">
        <v>71</v>
      </c>
      <c r="C107" s="311" t="s">
        <v>161</v>
      </c>
      <c r="D107" s="311" t="s">
        <v>162</v>
      </c>
      <c r="E107" s="313" t="s">
        <v>163</v>
      </c>
      <c r="F107" s="232" t="s">
        <v>56</v>
      </c>
      <c r="G107" s="232" t="s">
        <v>76</v>
      </c>
      <c r="H107" s="226" t="b">
        <f>IF(G107="","",IF('[5]Mapa final'!G86='[5]Tabla probabilidad'!$C$4,"MUY BAJA",IF('[5]Mapa final'!G86='[5]Tabla probabilidad'!$C$5,"BAJA",IF('[5]Mapa final'!G86='[5]Tabla probabilidad'!$C$6,"MEDIA",IF('[5]Mapa final'!G86='[5]Tabla probabilidad'!$C$7,"ALTA",IF('[5]Mapa final'!G86='[5]Tabla probabilidad'!$C$8,"MUY ALTA"))))))</f>
        <v>0</v>
      </c>
      <c r="I107" s="225">
        <f t="shared" ref="I107" si="104">IF(H107="","",IF(H107="Muy Baja",0.2,IF(H107="Baja",0.4,IF(H107="Media",0.6,IF(H107="Alta",0.8,IF(H107="Muy Alta",1,))))))</f>
        <v>0</v>
      </c>
      <c r="J107" s="224" t="s">
        <v>77</v>
      </c>
      <c r="K107" s="225" t="str">
        <f>IF(J107="","",IF(NOT(ISERROR(MATCH(J107,'[5]Tabla Impacto'!$B$37:$B$39,0))),'[5]Tabla Impacto'!$F$37&amp;"Por favor no seleccionar los criterios de impacto(Afectación Económica o presupuestal y Pérdida Reputacional)",J107))</f>
        <v xml:space="preserve">     El riesgo afecta la imagen de la entidad con algunos usuarios de relevancia frente al logro de los objetivos</v>
      </c>
      <c r="L107" s="226" t="str">
        <f>IF(OR(J107='[5]Tabla Impacto'!$F$25,J107='[5]Tabla Impacto'!$F$31),"Leve",IF(OR(J107='[5]Tabla Impacto'!$F$26,J107='[5]Tabla Impacto'!$F$32),"Menor",IF(OR(J107='[5]Tabla Impacto'!$F$27,J107='[5]Tabla Impacto'!$F$33,J107='[5]Tabla Impacto'!$F$37),"Moderado",IF(OR(J107='[5]Tabla Impacto'!$F$28,J107='[5]Tabla Impacto'!$F$34,J107='[5]Tabla Impacto'!$F$38),"Mayor",IF(OR(J107='[5]Tabla Impacto'!$F$29,J107='[5]Tabla Impacto'!$F$35,J107='[5]Tabla Impacto'!$F$39),"Catastrófico","")))))</f>
        <v>Moderado</v>
      </c>
      <c r="M107" s="225">
        <f t="shared" ref="M107" si="105">IF(L107="","",IF(L107="Leve",0.2,IF(L107="Menor",0.4,IF(L107="Moderado",0.6,IF(L107="Mayor",0.8,IF(L107="Catastrófico",1,))))))</f>
        <v>0.6</v>
      </c>
      <c r="N107" s="227" t="str">
        <f t="shared" ref="N107" si="106">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8">
        <v>1</v>
      </c>
      <c r="P107" s="9" t="s">
        <v>164</v>
      </c>
      <c r="Q107" s="10" t="s">
        <v>158</v>
      </c>
      <c r="R107" s="11" t="str">
        <f t="shared" si="98"/>
        <v>Probabilidad</v>
      </c>
      <c r="S107" s="12" t="s">
        <v>61</v>
      </c>
      <c r="T107" s="12" t="s">
        <v>62</v>
      </c>
      <c r="U107" s="25" t="str">
        <f t="shared" si="99"/>
        <v>40%</v>
      </c>
      <c r="V107" s="12" t="s">
        <v>63</v>
      </c>
      <c r="W107" s="12" t="s">
        <v>64</v>
      </c>
      <c r="X107" s="12" t="s">
        <v>65</v>
      </c>
      <c r="Y107" s="14">
        <f>IFERROR(IF(R107="Probabilidad",(I107-(+I107*U107)),IF(R107="Impacto",I107,"")),"")</f>
        <v>0</v>
      </c>
      <c r="Z107" s="15" t="str">
        <f>IFERROR(IF(Y107="","",IF(Y107&lt;=0.2,"Muy Baja",IF(Y107&lt;=0.4,"Baja",IF(Y107&lt;=0.6,"Media",IF(Y107&lt;=0.8,"Alta","Muy Alta"))))),"")</f>
        <v>Muy Baja</v>
      </c>
      <c r="AA107" s="13">
        <f>+Y107</f>
        <v>0</v>
      </c>
      <c r="AB107" s="15" t="str">
        <f>IFERROR(IF(AC107="","",IF(AC107&lt;=0.2,"Leve",IF(AC107&lt;=0.4,"Menor",IF(AC107&lt;=0.6,"Moderado",IF(AC107&lt;=0.8,"Mayor","Catastrófico"))))),"")</f>
        <v>Moderado</v>
      </c>
      <c r="AC107" s="13">
        <f>IFERROR(IF(R107="Impacto",(M107-(+M107*U107)),IF(R107="Probabilidad",M107,"")),"")</f>
        <v>0.6</v>
      </c>
      <c r="AD107" s="16"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12" t="s">
        <v>66</v>
      </c>
      <c r="AF107" s="299"/>
      <c r="AG107" s="299"/>
      <c r="AH107" s="301"/>
      <c r="AI107" s="301"/>
      <c r="AJ107" s="301"/>
      <c r="AK107" s="12"/>
    </row>
    <row r="108" spans="1:37" ht="409.5">
      <c r="A108" s="310"/>
      <c r="B108" s="232"/>
      <c r="C108" s="312"/>
      <c r="D108" s="312"/>
      <c r="E108" s="305"/>
      <c r="F108" s="232"/>
      <c r="G108" s="232"/>
      <c r="H108" s="226"/>
      <c r="I108" s="225"/>
      <c r="J108" s="224"/>
      <c r="K108" s="225">
        <f ca="1">IF(NOT(ISERROR(MATCH(J108,_xlfn.ANCHORARRAY(E110),0))),#REF!&amp;"Por favor no seleccionar los criterios de impacto",J108)</f>
        <v>0</v>
      </c>
      <c r="L108" s="226"/>
      <c r="M108" s="225"/>
      <c r="N108" s="227"/>
      <c r="O108" s="8">
        <v>2</v>
      </c>
      <c r="P108" s="9" t="s">
        <v>159</v>
      </c>
      <c r="Q108" s="10" t="s">
        <v>160</v>
      </c>
      <c r="R108" s="11" t="str">
        <f t="shared" si="98"/>
        <v>Probabilidad</v>
      </c>
      <c r="S108" s="12" t="s">
        <v>61</v>
      </c>
      <c r="T108" s="12" t="s">
        <v>62</v>
      </c>
      <c r="U108" s="25" t="str">
        <f t="shared" si="99"/>
        <v>40%</v>
      </c>
      <c r="V108" s="12" t="s">
        <v>63</v>
      </c>
      <c r="W108" s="12" t="s">
        <v>64</v>
      </c>
      <c r="X108" s="12" t="s">
        <v>65</v>
      </c>
      <c r="Y108" s="14">
        <f>IFERROR(IF(AND(R107="Probabilidad",R108="Probabilidad"),(AA107-(+AA107*U108)),IF(R108="Probabilidad",(I107-(+I107*U108)),IF(R108="Impacto",AA107,""))),"")</f>
        <v>0</v>
      </c>
      <c r="Z108" s="15" t="str">
        <f t="shared" si="100"/>
        <v>Muy Baja</v>
      </c>
      <c r="AA108" s="13">
        <f t="shared" ref="AA108" si="107">+Y108</f>
        <v>0</v>
      </c>
      <c r="AB108" s="15" t="str">
        <f t="shared" si="102"/>
        <v>Moderado</v>
      </c>
      <c r="AC108" s="13">
        <f>IFERROR(IF(AND(R107="Impacto",R108="Impacto"),(AC105-(+AC105*U108)),IF(R108="Impacto",($M$18-(+$M$18*U108)),IF(R108="Probabilidad",AC105,""))),"")</f>
        <v>0.6</v>
      </c>
      <c r="AD108" s="16" t="str">
        <f t="shared" ref="AD108" si="108">IFERROR(IF(OR(AND(Z108="Muy Baja",AB108="Leve"),AND(Z108="Muy Baja",AB108="Menor"),AND(Z108="Baja",AB108="Leve")),"Bajo",IF(OR(AND(Z108="Muy baja",AB108="Moderado"),AND(Z108="Baja",AB108="Menor"),AND(Z108="Baja",AB108="Moderado"),AND(Z108="Media",AB108="Leve"),AND(Z108="Media",AB108="Menor"),AND(Z108="Media",AB108="Moderado"),AND(Z108="Alta",AB108="Leve"),AND(Z108="Alta",AB108="Menor")),"Moderado",IF(OR(AND(Z108="Muy Baja",AB108="Mayor"),AND(Z108="Baja",AB108="Mayor"),AND(Z108="Media",AB108="Mayor"),AND(Z108="Alta",AB108="Moderado"),AND(Z108="Alta",AB108="Mayor"),AND(Z108="Muy Alta",AB108="Leve"),AND(Z108="Muy Alta",AB108="Menor"),AND(Z108="Muy Alta",AB108="Moderado"),AND(Z108="Muy Alta",AB108="Mayor")),"Alto",IF(OR(AND(Z108="Muy Baja",AB108="Catastrófico"),AND(Z108="Baja",AB108="Catastrófico"),AND(Z108="Media",AB108="Catastrófico"),AND(Z108="Alta",AB108="Catastrófico"),AND(Z108="Muy Alta",AB108="Catastrófico")),"Extremo","")))),"")</f>
        <v>Moderado</v>
      </c>
      <c r="AE108" s="12" t="s">
        <v>66</v>
      </c>
      <c r="AF108" s="300"/>
      <c r="AG108" s="300"/>
      <c r="AH108" s="302"/>
      <c r="AI108" s="302"/>
      <c r="AJ108" s="302"/>
      <c r="AK108" s="12"/>
    </row>
    <row r="109" spans="1:37">
      <c r="A109" s="310">
        <v>3</v>
      </c>
      <c r="B109" s="232"/>
      <c r="C109" s="232"/>
      <c r="D109" s="232"/>
      <c r="E109" s="233"/>
      <c r="F109" s="232"/>
      <c r="G109" s="232"/>
      <c r="H109" s="226" t="str">
        <f>IF(G109="","",IF('[5]Mapa final'!G88='[5]Tabla probabilidad'!$C$4,"MUY BAJA",IF('[5]Mapa final'!G88='[5]Tabla probabilidad'!$C$5,"BAJA",IF('[5]Mapa final'!G88='[5]Tabla probabilidad'!$C$6,"MEDIA",IF('[5]Mapa final'!G88='[5]Tabla probabilidad'!$C$7,"ALTA",IF('[5]Mapa final'!G88='[5]Tabla probabilidad'!$C$8,"MUY ALTA"))))))</f>
        <v/>
      </c>
      <c r="I109" s="225" t="str">
        <f t="shared" ref="I109" si="109">IF(H109="","",IF(H109="Muy Baja",0.2,IF(H109="Baja",0.4,IF(H109="Media",0.6,IF(H109="Alta",0.8,IF(H109="Muy Alta",1,))))))</f>
        <v/>
      </c>
      <c r="J109" s="224"/>
      <c r="K109" s="225" t="str">
        <f>IF(J109="","",IF(NOT(ISERROR(MATCH(J109,'[5]Tabla Impacto'!$B$37:$B$39,0))),'[5]Tabla Impacto'!$F$37&amp;"Por favor no seleccionar los criterios de impacto(Afectación Económica o presupuestal y Pérdida Reputacional)",J109))</f>
        <v/>
      </c>
      <c r="L109" s="226" t="str">
        <f>IF(OR(J109='[5]Tabla Impacto'!$F$25,J109='[5]Tabla Impacto'!$F$31),"Leve",IF(OR(J109='[5]Tabla Impacto'!$F$26,J109='[5]Tabla Impacto'!$F$32),"Menor",IF(OR(J109='[5]Tabla Impacto'!$F$27,J109='[5]Tabla Impacto'!$F$33,J109='[5]Tabla Impacto'!$F$37),"Moderado",IF(OR(J109='[5]Tabla Impacto'!$F$28,J109='[5]Tabla Impacto'!$F$34,J109='[5]Tabla Impacto'!$F$38),"Mayor",IF(OR(J109='[5]Tabla Impacto'!$F$29,J109='[5]Tabla Impacto'!$F$35,J109='[5]Tabla Impacto'!$F$39),"Catastrófico","")))))</f>
        <v/>
      </c>
      <c r="M109" s="225" t="str">
        <f t="shared" ref="M109" si="110">IF(L109="","",IF(L109="Leve",0.2,IF(L109="Menor",0.4,IF(L109="Moderado",0.6,IF(L109="Mayor",0.8,IF(L109="Catastrófico",1,))))))</f>
        <v/>
      </c>
      <c r="N109" s="227" t="str">
        <f t="shared" ref="N109" si="111">IF(OR(AND(H109="Muy Baja",L109="Leve"),AND(H109="Muy Baja",L109="Menor"),AND(H109="Baja",L109="Leve")),"Bajo",IF(OR(AND(H109="Muy baja",L109="Moderado"),AND(H109="Baja",L109="Menor"),AND(H109="Baja",L109="Moderado"),AND(H109="Media",L109="Leve"),AND(H109="Media",L109="Menor"),AND(H109="Media",L109="Moderado"),AND(H109="Alta",L109="Leve"),AND(H109="Alta",L109="Menor")),"Moderado",IF(OR(AND(H109="Muy Baja",L109="Mayor"),AND(H109="Baja",L109="Mayor"),AND(H109="Media",L109="Mayor"),AND(H109="Alta",L109="Moderado"),AND(H109="Alta",L109="Mayor"),AND(H109="Muy Alta",L109="Leve"),AND(H109="Muy Alta",L109="Menor"),AND(H109="Muy Alta",L109="Moderado"),AND(H109="Muy Alta",L109="Mayor")),"Alto",IF(OR(AND(H109="Muy Baja",L109="Catastrófico"),AND(H109="Baja",L109="Catastrófico"),AND(H109="Media",L109="Catastrófico"),AND(H109="Alta",L109="Catastrófico"),AND(H109="Muy Alta",L109="Catastrófico")),"Extremo",""))))</f>
        <v/>
      </c>
      <c r="O109" s="23">
        <v>1</v>
      </c>
      <c r="P109" s="24"/>
      <c r="Q109" s="24"/>
      <c r="R109" s="23" t="str">
        <f t="shared" si="98"/>
        <v/>
      </c>
      <c r="S109" s="12"/>
      <c r="T109" s="12"/>
      <c r="U109" s="25" t="str">
        <f>IF(AND(S109="Preventivo",T109="Automático"),"50%",IF(AND(S109="Preventivo",T109="Manual"),"40%",IF(AND(S109="Detectivo",T109="Automático"),"40%",IF(AND(S109="Detectivo",T109="Manual"),"30%",IF(AND(S109="Correctivo",T109="Automático"),"35%",IF(AND(S109="Correctivo",T109="Manual"),"25%",""))))))</f>
        <v/>
      </c>
      <c r="V109" s="12"/>
      <c r="W109" s="12"/>
      <c r="X109" s="12"/>
      <c r="Y109" s="26" t="str">
        <f t="shared" ref="Y109:Y112" si="112">IFERROR(IF(R109="Probabilidad",(I109-(+I109*U109)),IF(R109="Impacto",I109,"")),"")</f>
        <v/>
      </c>
      <c r="Z109" s="19" t="str">
        <f>IFERROR(IF(Y109="","",IF(Y109&lt;=0.2,"Muy Baja",IF(Y109&lt;=0.4,"Baja",IF(Y109&lt;=0.6,"Media",IF(Y109&lt;=0.8,"Alta","Muy Alta"))))),"")</f>
        <v/>
      </c>
      <c r="AA109" s="25" t="str">
        <f>+Y109</f>
        <v/>
      </c>
      <c r="AB109" s="19" t="str">
        <f>IFERROR(IF(AC109="","",IF(AC109&lt;=0.2,"Leve",IF(AC109&lt;=0.4,"Menor",IF(AC109&lt;=0.6,"Moderado",IF(AC109&lt;=0.8,"Mayor","Catastrófico"))))),"")</f>
        <v/>
      </c>
      <c r="AC109" s="25" t="str">
        <f t="shared" ref="AC109:AC112" si="113">IFERROR(IF(R109="Impacto",(M109-(+M109*U109)),IF(R109="Probabilidad",M109,"")),"")</f>
        <v/>
      </c>
      <c r="AD109" s="2" t="str">
        <f>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12"/>
      <c r="AF109" s="18"/>
      <c r="AG109" s="12"/>
      <c r="AH109" s="27"/>
      <c r="AI109" s="27"/>
      <c r="AJ109" s="18"/>
      <c r="AK109" s="12"/>
    </row>
    <row r="110" spans="1:37">
      <c r="A110" s="310"/>
      <c r="B110" s="232"/>
      <c r="C110" s="232"/>
      <c r="D110" s="232"/>
      <c r="E110" s="233"/>
      <c r="F110" s="232"/>
      <c r="G110" s="232"/>
      <c r="H110" s="226"/>
      <c r="I110" s="225"/>
      <c r="J110" s="224"/>
      <c r="K110" s="225">
        <f ca="1">IF(NOT(ISERROR(MATCH(J110,_xlfn.ANCHORARRAY(E113),0))),#REF!&amp;"Por favor no seleccionar los criterios de impacto",J110)</f>
        <v>0</v>
      </c>
      <c r="L110" s="226"/>
      <c r="M110" s="225"/>
      <c r="N110" s="227"/>
      <c r="O110" s="23">
        <v>2</v>
      </c>
      <c r="P110" s="24"/>
      <c r="Q110" s="24"/>
      <c r="R110" s="23" t="str">
        <f t="shared" si="98"/>
        <v/>
      </c>
      <c r="S110" s="12"/>
      <c r="T110" s="12"/>
      <c r="U110" s="25" t="str">
        <f t="shared" ref="U110" si="114">IF(AND(S110="Preventivo",T110="Automático"),"50%",IF(AND(S110="Preventivo",T110="Manual"),"40%",IF(AND(S110="Detectivo",T110="Automático"),"40%",IF(AND(S110="Detectivo",T110="Manual"),"30%",IF(AND(S110="Correctivo",T110="Automático"),"35%",IF(AND(S110="Correctivo",T110="Manual"),"25%",""))))))</f>
        <v/>
      </c>
      <c r="V110" s="12"/>
      <c r="W110" s="12"/>
      <c r="X110" s="12"/>
      <c r="Y110" s="26" t="str">
        <f t="shared" si="112"/>
        <v/>
      </c>
      <c r="Z110" s="19" t="str">
        <f t="shared" ref="Z110:Z112" si="115">IFERROR(IF(Y110="","",IF(Y110&lt;=0.2,"Muy Baja",IF(Y110&lt;=0.4,"Baja",IF(Y110&lt;=0.6,"Media",IF(Y110&lt;=0.8,"Alta","Muy Alta"))))),"")</f>
        <v/>
      </c>
      <c r="AA110" s="25" t="str">
        <f t="shared" ref="AA110" si="116">+Y110</f>
        <v/>
      </c>
      <c r="AB110" s="19" t="str">
        <f t="shared" ref="AB110:AB112" si="117">IFERROR(IF(AC110="","",IF(AC110&lt;=0.2,"Leve",IF(AC110&lt;=0.4,"Menor",IF(AC110&lt;=0.6,"Moderado",IF(AC110&lt;=0.8,"Mayor","Catastrófico"))))),"")</f>
        <v/>
      </c>
      <c r="AC110" s="25" t="str">
        <f t="shared" si="113"/>
        <v/>
      </c>
      <c r="AD110" s="2" t="str">
        <f t="shared" ref="AD110" si="118">IFERROR(IF(OR(AND(Z110="Muy Baja",AB110="Leve"),AND(Z110="Muy Baja",AB110="Menor"),AND(Z110="Baja",AB110="Leve")),"Bajo",IF(OR(AND(Z110="Muy baja",AB110="Moderado"),AND(Z110="Baja",AB110="Menor"),AND(Z110="Baja",AB110="Moderado"),AND(Z110="Media",AB110="Leve"),AND(Z110="Media",AB110="Menor"),AND(Z110="Media",AB110="Moderado"),AND(Z110="Alta",AB110="Leve"),AND(Z110="Alta",AB110="Menor")),"Moderado",IF(OR(AND(Z110="Muy Baja",AB110="Mayor"),AND(Z110="Baja",AB110="Mayor"),AND(Z110="Media",AB110="Mayor"),AND(Z110="Alta",AB110="Moderado"),AND(Z110="Alta",AB110="Mayor"),AND(Z110="Muy Alta",AB110="Leve"),AND(Z110="Muy Alta",AB110="Menor"),AND(Z110="Muy Alta",AB110="Moderado"),AND(Z110="Muy Alta",AB110="Mayor")),"Alto",IF(OR(AND(Z110="Muy Baja",AB110="Catastrófico"),AND(Z110="Baja",AB110="Catastrófico"),AND(Z110="Media",AB110="Catastrófico"),AND(Z110="Alta",AB110="Catastrófico"),AND(Z110="Muy Alta",AB110="Catastrófico")),"Extremo","")))),"")</f>
        <v/>
      </c>
      <c r="AE110" s="12"/>
      <c r="AF110" s="18"/>
      <c r="AG110" s="12"/>
      <c r="AH110" s="27"/>
      <c r="AI110" s="27"/>
      <c r="AJ110" s="18"/>
      <c r="AK110" s="12"/>
    </row>
    <row r="111" spans="1:37">
      <c r="A111" s="310">
        <v>4</v>
      </c>
      <c r="B111" s="232"/>
      <c r="C111" s="232"/>
      <c r="D111" s="232"/>
      <c r="E111" s="233"/>
      <c r="F111" s="232"/>
      <c r="G111" s="232"/>
      <c r="H111" s="226" t="str">
        <f>IF(G111="","",IF('[5]Mapa final'!G90='[5]Tabla probabilidad'!$C$4,"MUY BAJA",IF('[5]Mapa final'!G90='[5]Tabla probabilidad'!$C$5,"BAJA",IF('[5]Mapa final'!G90='[5]Tabla probabilidad'!$C$6,"MEDIA",IF('[5]Mapa final'!G90='[5]Tabla probabilidad'!$C$7,"ALTA",IF('[5]Mapa final'!G90='[5]Tabla probabilidad'!$C$8,"MUY ALTA"))))))</f>
        <v/>
      </c>
      <c r="I111" s="225" t="str">
        <f t="shared" ref="I111" si="119">IF(H111="","",IF(H111="Muy Baja",0.2,IF(H111="Baja",0.4,IF(H111="Media",0.6,IF(H111="Alta",0.8,IF(H111="Muy Alta",1,))))))</f>
        <v/>
      </c>
      <c r="J111" s="224"/>
      <c r="K111" s="225" t="str">
        <f>IF(J111="","",IF(NOT(ISERROR(MATCH(J111,'[5]Tabla Impacto'!$B$37:$B$39,0))),'[5]Tabla Impacto'!$F$37&amp;"Por favor no seleccionar los criterios de impacto(Afectación Económica o presupuestal y Pérdida Reputacional)",J111))</f>
        <v/>
      </c>
      <c r="L111" s="226" t="str">
        <f>IF(OR(J111='[5]Tabla Impacto'!$F$25,J111='[5]Tabla Impacto'!$F$31),"Leve",IF(OR(J111='[5]Tabla Impacto'!$F$26,J111='[5]Tabla Impacto'!$F$32),"Menor",IF(OR(J111='[5]Tabla Impacto'!$F$27,J111='[5]Tabla Impacto'!$F$33,J111='[5]Tabla Impacto'!$F$37),"Moderado",IF(OR(J111='[5]Tabla Impacto'!$F$28,J111='[5]Tabla Impacto'!$F$34,J111='[5]Tabla Impacto'!$F$38),"Mayor",IF(OR(J111='[5]Tabla Impacto'!$F$29,J111='[5]Tabla Impacto'!$F$35,J111='[5]Tabla Impacto'!$F$39),"Catastrófico","")))))</f>
        <v/>
      </c>
      <c r="M111" s="225" t="str">
        <f t="shared" ref="M111" si="120">IF(L111="","",IF(L111="Leve",0.2,IF(L111="Menor",0.4,IF(L111="Moderado",0.6,IF(L111="Mayor",0.8,IF(L111="Catastrófico",1,))))))</f>
        <v/>
      </c>
      <c r="N111" s="227" t="str">
        <f t="shared" ref="N111" si="121">IF(OR(AND(H111="Muy Baja",L111="Leve"),AND(H111="Muy Baja",L111="Menor"),AND(H111="Baja",L111="Leve")),"Bajo",IF(OR(AND(H111="Muy baja",L111="Moderado"),AND(H111="Baja",L111="Menor"),AND(H111="Baja",L111="Moderado"),AND(H111="Media",L111="Leve"),AND(H111="Media",L111="Menor"),AND(H111="Media",L111="Moderado"),AND(H111="Alta",L111="Leve"),AND(H111="Alta",L111="Menor")),"Moderado",IF(OR(AND(H111="Muy Baja",L111="Mayor"),AND(H111="Baja",L111="Mayor"),AND(H111="Media",L111="Mayor"),AND(H111="Alta",L111="Moderado"),AND(H111="Alta",L111="Mayor"),AND(H111="Muy Alta",L111="Leve"),AND(H111="Muy Alta",L111="Menor"),AND(H111="Muy Alta",L111="Moderado"),AND(H111="Muy Alta",L111="Mayor")),"Alto",IF(OR(AND(H111="Muy Baja",L111="Catastrófico"),AND(H111="Baja",L111="Catastrófico"),AND(H111="Media",L111="Catastrófico"),AND(H111="Alta",L111="Catastrófico"),AND(H111="Muy Alta",L111="Catastrófico")),"Extremo",""))))</f>
        <v/>
      </c>
      <c r="O111" s="23">
        <v>1</v>
      </c>
      <c r="P111" s="24"/>
      <c r="Q111" s="24"/>
      <c r="R111" s="23" t="str">
        <f t="shared" si="98"/>
        <v/>
      </c>
      <c r="S111" s="12"/>
      <c r="T111" s="12"/>
      <c r="U111" s="25" t="str">
        <f>IF(AND(S111="Preventivo",T111="Automático"),"50%",IF(AND(S111="Preventivo",T111="Manual"),"40%",IF(AND(S111="Detectivo",T111="Automático"),"40%",IF(AND(S111="Detectivo",T111="Manual"),"30%",IF(AND(S111="Correctivo",T111="Automático"),"35%",IF(AND(S111="Correctivo",T111="Manual"),"25%",""))))))</f>
        <v/>
      </c>
      <c r="V111" s="12"/>
      <c r="W111" s="12"/>
      <c r="X111" s="12"/>
      <c r="Y111" s="26" t="str">
        <f t="shared" si="112"/>
        <v/>
      </c>
      <c r="Z111" s="19" t="str">
        <f>IFERROR(IF(Y111="","",IF(Y111&lt;=0.2,"Muy Baja",IF(Y111&lt;=0.4,"Baja",IF(Y111&lt;=0.6,"Media",IF(Y111&lt;=0.8,"Alta","Muy Alta"))))),"")</f>
        <v/>
      </c>
      <c r="AA111" s="25" t="str">
        <f>+Y111</f>
        <v/>
      </c>
      <c r="AB111" s="19" t="str">
        <f>IFERROR(IF(AC111="","",IF(AC111&lt;=0.2,"Leve",IF(AC111&lt;=0.4,"Menor",IF(AC111&lt;=0.6,"Moderado",IF(AC111&lt;=0.8,"Mayor","Catastrófico"))))),"")</f>
        <v/>
      </c>
      <c r="AC111" s="25" t="str">
        <f t="shared" si="113"/>
        <v/>
      </c>
      <c r="AD111" s="2" t="str">
        <f>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
      </c>
      <c r="AE111" s="12"/>
      <c r="AF111" s="18"/>
      <c r="AG111" s="12"/>
      <c r="AH111" s="27"/>
      <c r="AI111" s="27"/>
      <c r="AJ111" s="18"/>
      <c r="AK111" s="12"/>
    </row>
    <row r="112" spans="1:37">
      <c r="A112" s="310"/>
      <c r="B112" s="232"/>
      <c r="C112" s="232"/>
      <c r="D112" s="232"/>
      <c r="E112" s="233"/>
      <c r="F112" s="232"/>
      <c r="G112" s="232"/>
      <c r="H112" s="226"/>
      <c r="I112" s="225"/>
      <c r="J112" s="224"/>
      <c r="K112" s="225">
        <f ca="1">IF(NOT(ISERROR(MATCH(J112,_xlfn.ANCHORARRAY(E114),0))),#REF!&amp;"Por favor no seleccionar los criterios de impacto",J112)</f>
        <v>0</v>
      </c>
      <c r="L112" s="226"/>
      <c r="M112" s="225"/>
      <c r="N112" s="227"/>
      <c r="O112" s="23">
        <v>2</v>
      </c>
      <c r="P112" s="24"/>
      <c r="Q112" s="24"/>
      <c r="R112" s="23" t="str">
        <f t="shared" si="98"/>
        <v/>
      </c>
      <c r="S112" s="12"/>
      <c r="T112" s="12"/>
      <c r="U112" s="25" t="str">
        <f t="shared" ref="U112" si="122">IF(AND(S112="Preventivo",T112="Automático"),"50%",IF(AND(S112="Preventivo",T112="Manual"),"40%",IF(AND(S112="Detectivo",T112="Automático"),"40%",IF(AND(S112="Detectivo",T112="Manual"),"30%",IF(AND(S112="Correctivo",T112="Automático"),"35%",IF(AND(S112="Correctivo",T112="Manual"),"25%",""))))))</f>
        <v/>
      </c>
      <c r="V112" s="12"/>
      <c r="W112" s="12"/>
      <c r="X112" s="12"/>
      <c r="Y112" s="26" t="str">
        <f t="shared" si="112"/>
        <v/>
      </c>
      <c r="Z112" s="19" t="str">
        <f t="shared" si="115"/>
        <v/>
      </c>
      <c r="AA112" s="25" t="str">
        <f t="shared" ref="AA112" si="123">+Y112</f>
        <v/>
      </c>
      <c r="AB112" s="19" t="str">
        <f t="shared" si="117"/>
        <v/>
      </c>
      <c r="AC112" s="25" t="str">
        <f t="shared" si="113"/>
        <v/>
      </c>
      <c r="AD112" s="2" t="str">
        <f t="shared" ref="AD112" si="124">IFERROR(IF(OR(AND(Z112="Muy Baja",AB112="Leve"),AND(Z112="Muy Baja",AB112="Menor"),AND(Z112="Baja",AB112="Leve")),"Bajo",IF(OR(AND(Z112="Muy baja",AB112="Moderado"),AND(Z112="Baja",AB112="Menor"),AND(Z112="Baja",AB112="Moderado"),AND(Z112="Media",AB112="Leve"),AND(Z112="Media",AB112="Menor"),AND(Z112="Media",AB112="Moderado"),AND(Z112="Alta",AB112="Leve"),AND(Z112="Alta",AB112="Menor")),"Moderado",IF(OR(AND(Z112="Muy Baja",AB112="Mayor"),AND(Z112="Baja",AB112="Mayor"),AND(Z112="Media",AB112="Mayor"),AND(Z112="Alta",AB112="Moderado"),AND(Z112="Alta",AB112="Mayor"),AND(Z112="Muy Alta",AB112="Leve"),AND(Z112="Muy Alta",AB112="Menor"),AND(Z112="Muy Alta",AB112="Moderado"),AND(Z112="Muy Alta",AB112="Mayor")),"Alto",IF(OR(AND(Z112="Muy Baja",AB112="Catastrófico"),AND(Z112="Baja",AB112="Catastrófico"),AND(Z112="Media",AB112="Catastrófico"),AND(Z112="Alta",AB112="Catastrófico"),AND(Z112="Muy Alta",AB112="Catastrófico")),"Extremo","")))),"")</f>
        <v/>
      </c>
      <c r="AE112" s="12"/>
      <c r="AF112" s="18"/>
      <c r="AG112" s="12"/>
      <c r="AH112" s="27"/>
      <c r="AI112" s="27"/>
      <c r="AJ112" s="18"/>
      <c r="AK112" s="12"/>
    </row>
    <row r="113" spans="1:37">
      <c r="A113" s="228" t="s">
        <v>97</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30"/>
    </row>
    <row r="119" spans="1:37" ht="21">
      <c r="A119" s="348" t="s">
        <v>386</v>
      </c>
      <c r="B119" s="349"/>
      <c r="C119" s="349"/>
      <c r="D119" s="349"/>
    </row>
    <row r="124" spans="1:37" ht="16.5">
      <c r="A124" s="231"/>
      <c r="B124" s="231"/>
      <c r="C124" s="231"/>
      <c r="D124" s="231"/>
      <c r="E124" s="227" t="s">
        <v>0</v>
      </c>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53" t="s">
        <v>1</v>
      </c>
      <c r="AI124" s="253"/>
      <c r="AJ124" s="253"/>
      <c r="AK124" s="253"/>
    </row>
    <row r="125" spans="1:37" ht="16.5">
      <c r="A125" s="231"/>
      <c r="B125" s="231"/>
      <c r="C125" s="231"/>
      <c r="D125" s="231"/>
      <c r="E125" s="227" t="s">
        <v>2</v>
      </c>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53" t="s">
        <v>3</v>
      </c>
      <c r="AI125" s="253"/>
      <c r="AJ125" s="253"/>
      <c r="AK125" s="253"/>
    </row>
    <row r="126" spans="1:37" ht="16.5">
      <c r="A126" s="231"/>
      <c r="B126" s="231"/>
      <c r="C126" s="231"/>
      <c r="D126" s="231"/>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53" t="s">
        <v>4</v>
      </c>
      <c r="AI126" s="253"/>
      <c r="AJ126" s="253"/>
      <c r="AK126" s="253"/>
    </row>
    <row r="127" spans="1:37" ht="16.5">
      <c r="A127" s="3"/>
      <c r="B127" s="4"/>
      <c r="C127" s="3"/>
      <c r="D127" s="3"/>
      <c r="E127" s="5"/>
      <c r="F127" s="3"/>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36" customHeight="1">
      <c r="A128" s="254" t="s">
        <v>5</v>
      </c>
      <c r="B128" s="254"/>
      <c r="C128" s="255" t="s">
        <v>165</v>
      </c>
      <c r="D128" s="255"/>
      <c r="E128" s="255"/>
      <c r="F128" s="255"/>
      <c r="G128" s="255"/>
      <c r="H128" s="256" t="s">
        <v>7</v>
      </c>
      <c r="I128" s="256"/>
      <c r="J128" s="255" t="s">
        <v>166</v>
      </c>
      <c r="K128" s="255"/>
      <c r="L128" s="255"/>
      <c r="M128" s="255"/>
      <c r="N128" s="255"/>
      <c r="O128" s="256" t="s">
        <v>9</v>
      </c>
      <c r="P128" s="256"/>
      <c r="Q128" s="306" t="s">
        <v>167</v>
      </c>
      <c r="R128" s="307"/>
      <c r="S128" s="307"/>
      <c r="T128" s="307"/>
      <c r="U128" s="307"/>
      <c r="V128" s="307"/>
      <c r="W128" s="307"/>
      <c r="X128" s="307"/>
      <c r="Y128" s="307"/>
      <c r="Z128" s="307"/>
      <c r="AA128" s="307"/>
      <c r="AB128" s="307"/>
      <c r="AC128" s="307"/>
      <c r="AD128" s="307"/>
      <c r="AE128" s="308"/>
      <c r="AF128" s="152" t="s">
        <v>11</v>
      </c>
      <c r="AG128" s="309" t="s">
        <v>168</v>
      </c>
      <c r="AH128" s="309"/>
      <c r="AI128" s="309"/>
      <c r="AJ128" s="309"/>
      <c r="AK128" s="309"/>
    </row>
    <row r="129" spans="1:37">
      <c r="A129" s="245" t="s">
        <v>13</v>
      </c>
      <c r="B129" s="245"/>
      <c r="C129" s="245"/>
      <c r="D129" s="245"/>
      <c r="E129" s="245"/>
      <c r="F129" s="245"/>
      <c r="G129" s="245"/>
      <c r="H129" s="248" t="s">
        <v>14</v>
      </c>
      <c r="I129" s="248"/>
      <c r="J129" s="248"/>
      <c r="K129" s="248"/>
      <c r="L129" s="248"/>
      <c r="M129" s="248"/>
      <c r="N129" s="248"/>
      <c r="O129" s="261" t="s">
        <v>15</v>
      </c>
      <c r="P129" s="261"/>
      <c r="Q129" s="261"/>
      <c r="R129" s="261"/>
      <c r="S129" s="261"/>
      <c r="T129" s="261"/>
      <c r="U129" s="261"/>
      <c r="V129" s="261"/>
      <c r="W129" s="261"/>
      <c r="X129" s="261"/>
      <c r="Y129" s="262" t="s">
        <v>16</v>
      </c>
      <c r="Z129" s="262"/>
      <c r="AA129" s="262"/>
      <c r="AB129" s="262"/>
      <c r="AC129" s="262"/>
      <c r="AD129" s="262"/>
      <c r="AE129" s="262"/>
      <c r="AF129" s="243" t="s">
        <v>17</v>
      </c>
      <c r="AG129" s="243"/>
      <c r="AH129" s="243"/>
      <c r="AI129" s="243"/>
      <c r="AJ129" s="243"/>
      <c r="AK129" s="243"/>
    </row>
    <row r="130" spans="1:37">
      <c r="A130" s="244" t="s">
        <v>18</v>
      </c>
      <c r="B130" s="245" t="s">
        <v>19</v>
      </c>
      <c r="C130" s="246" t="s">
        <v>20</v>
      </c>
      <c r="D130" s="246" t="s">
        <v>21</v>
      </c>
      <c r="E130" s="245" t="s">
        <v>22</v>
      </c>
      <c r="F130" s="246" t="s">
        <v>23</v>
      </c>
      <c r="G130" s="246" t="s">
        <v>24</v>
      </c>
      <c r="H130" s="247" t="s">
        <v>25</v>
      </c>
      <c r="I130" s="248" t="s">
        <v>26</v>
      </c>
      <c r="J130" s="247" t="s">
        <v>27</v>
      </c>
      <c r="K130" s="247" t="s">
        <v>28</v>
      </c>
      <c r="L130" s="247" t="s">
        <v>29</v>
      </c>
      <c r="M130" s="248" t="s">
        <v>26</v>
      </c>
      <c r="N130" s="247" t="s">
        <v>30</v>
      </c>
      <c r="O130" s="249" t="s">
        <v>31</v>
      </c>
      <c r="P130" s="237" t="s">
        <v>32</v>
      </c>
      <c r="Q130" s="251" t="s">
        <v>33</v>
      </c>
      <c r="R130" s="237" t="s">
        <v>34</v>
      </c>
      <c r="S130" s="237" t="s">
        <v>35</v>
      </c>
      <c r="T130" s="237"/>
      <c r="U130" s="237"/>
      <c r="V130" s="237"/>
      <c r="W130" s="237"/>
      <c r="X130" s="237"/>
      <c r="Y130" s="236" t="s">
        <v>36</v>
      </c>
      <c r="Z130" s="236" t="s">
        <v>37</v>
      </c>
      <c r="AA130" s="236" t="s">
        <v>26</v>
      </c>
      <c r="AB130" s="236" t="s">
        <v>38</v>
      </c>
      <c r="AC130" s="236" t="s">
        <v>26</v>
      </c>
      <c r="AD130" s="236" t="s">
        <v>39</v>
      </c>
      <c r="AE130" s="236" t="s">
        <v>40</v>
      </c>
      <c r="AF130" s="250" t="s">
        <v>17</v>
      </c>
      <c r="AG130" s="250" t="s">
        <v>41</v>
      </c>
      <c r="AH130" s="250" t="s">
        <v>42</v>
      </c>
      <c r="AI130" s="250" t="s">
        <v>43</v>
      </c>
      <c r="AJ130" s="250" t="s">
        <v>44</v>
      </c>
      <c r="AK130" s="250" t="s">
        <v>45</v>
      </c>
    </row>
    <row r="131" spans="1:37" ht="81.75">
      <c r="A131" s="244"/>
      <c r="B131" s="245"/>
      <c r="C131" s="246"/>
      <c r="D131" s="246"/>
      <c r="E131" s="245"/>
      <c r="F131" s="246"/>
      <c r="G131" s="246"/>
      <c r="H131" s="247"/>
      <c r="I131" s="248"/>
      <c r="J131" s="247"/>
      <c r="K131" s="247"/>
      <c r="L131" s="248"/>
      <c r="M131" s="248"/>
      <c r="N131" s="247"/>
      <c r="O131" s="249"/>
      <c r="P131" s="237"/>
      <c r="Q131" s="252"/>
      <c r="R131" s="237"/>
      <c r="S131" s="7" t="s">
        <v>46</v>
      </c>
      <c r="T131" s="7" t="s">
        <v>47</v>
      </c>
      <c r="U131" s="7" t="s">
        <v>48</v>
      </c>
      <c r="V131" s="7" t="s">
        <v>49</v>
      </c>
      <c r="W131" s="7" t="s">
        <v>50</v>
      </c>
      <c r="X131" s="7" t="s">
        <v>51</v>
      </c>
      <c r="Y131" s="236"/>
      <c r="Z131" s="236"/>
      <c r="AA131" s="236"/>
      <c r="AB131" s="236"/>
      <c r="AC131" s="236"/>
      <c r="AD131" s="236"/>
      <c r="AE131" s="236"/>
      <c r="AF131" s="250"/>
      <c r="AG131" s="250"/>
      <c r="AH131" s="250"/>
      <c r="AI131" s="250"/>
      <c r="AJ131" s="250"/>
      <c r="AK131" s="250"/>
    </row>
    <row r="132" spans="1:37" ht="409.5">
      <c r="A132" s="231">
        <v>1</v>
      </c>
      <c r="B132" s="232" t="s">
        <v>52</v>
      </c>
      <c r="C132" s="303" t="s">
        <v>169</v>
      </c>
      <c r="D132" s="303" t="s">
        <v>170</v>
      </c>
      <c r="E132" s="305" t="s">
        <v>171</v>
      </c>
      <c r="F132" s="232" t="s">
        <v>75</v>
      </c>
      <c r="G132" s="232" t="s">
        <v>76</v>
      </c>
      <c r="H132" s="226" t="b">
        <f>IF(G132="","",IF('[6]Mapa final'!G111='[6]Tabla probabilidad'!$C$4,"MUY BAJA",IF('[6]Mapa final'!G111='[6]Tabla probabilidad'!$C$5,"BAJA",IF('[6]Mapa final'!G111='[6]Tabla probabilidad'!$C$6,"MEDIA",IF('[6]Mapa final'!G111='[6]Tabla probabilidad'!$C$7,"ALTA",IF('[6]Mapa final'!G111='[6]Tabla probabilidad'!$C$8,"MUY ALTA"))))))</f>
        <v>0</v>
      </c>
      <c r="I132" s="225">
        <f t="shared" ref="I132" si="125">IF(H132="","",IF(H132="Muy Baja",0.2,IF(H132="Baja",0.4,IF(H132="Media",0.6,IF(H132="Alta",0.8,IF(H132="Muy Alta",1,))))))</f>
        <v>0</v>
      </c>
      <c r="J132" s="224" t="s">
        <v>58</v>
      </c>
      <c r="K132" s="292" t="str">
        <f>IF(NOT(ISERROR(MATCH(J132,'[7]Tabla Impacto'!$B$221:$B$223,0))),'[7]Tabla Impacto'!$F$223&amp;"Por favor no seleccionar los criterios de impacto(Afectación Económica o presupuestal y Pérdida Reputacional)",J132)</f>
        <v xml:space="preserve">     El riesgo afecta la imagen de de la entidad con efecto publicitario sostenido a nivel de sector administrativo, nivel departamental o municipal</v>
      </c>
      <c r="L132" s="293" t="str">
        <f>IF(OR(K132='[7]Tabla Impacto'!$C$11,K132='[7]Tabla Impacto'!$D$11),"Leve",IF(OR(K132='[7]Tabla Impacto'!$C$12,K132='[7]Tabla Impacto'!$D$12),"Menor",IF(OR(K132='[7]Tabla Impacto'!$C$13,K132='[7]Tabla Impacto'!$D$13),"Moderado",IF(OR(K132='[7]Tabla Impacto'!$C$14,K132='[7]Tabla Impacto'!$D$14),"Mayor",IF(OR(K132='[7]Tabla Impacto'!$C$15,K132='[7]Tabla Impacto'!$D$15),"Catastrófico","")))))</f>
        <v>Mayor</v>
      </c>
      <c r="M132" s="295">
        <f>IF(L132="","",IF(L132="Leve",0.2,IF(L132="Menor",0.4,IF(L132="Moderado",0.6,IF(L132="Mayor",0.8,IF(L132="Catastrófico",1,))))))</f>
        <v>0.8</v>
      </c>
      <c r="N132" s="297" t="str">
        <f>IF(OR(AND(H132="Muy Baja",L132="Leve"),AND(H132="Muy Baja",L132="Menor"),AND(H132="Baja",L132="Leve")),"Bajo",IF(OR(AND(H132="Muy baja",L132="Moderado"),AND(H132="Baja",L132="Menor"),AND(H132="Baja",L132="Moderado"),AND(H132="Media",L132="Leve"),AND(H132="Media",L132="Menor"),AND(H132="Media",L132="Moderado"),AND(H132="Alta",L132="Leve"),AND(H132="Alta",L132="Menor")),"Moderado",IF(OR(AND(H132="Muy Baja",L132="Mayor"),AND(H132="Baja",L132="Mayor"),AND(H132="Media",L132="Mayor"),AND(H132="Alta",L132="Moderado"),AND(H132="Alta",L132="Mayor"),AND(H132="Muy Alta",L132="Leve"),AND(H132="Muy Alta",L132="Menor"),AND(H132="Muy Alta",L132="Moderado"),AND(H132="Muy Alta",L132="Mayor")),"Alto",IF(OR(AND(H132="Muy Baja",L132="Catastrófico"),AND(H132="Baja",L132="Catastrófico"),AND(H132="Media",L132="Catastrófico"),AND(H132="Alta",L132="Catastrófico"),AND(H132="Muy Alta",L132="Catastrófico")),"Extremo",""))))</f>
        <v/>
      </c>
      <c r="O132" s="1">
        <v>1</v>
      </c>
      <c r="P132" s="48" t="s">
        <v>172</v>
      </c>
      <c r="Q132" s="10" t="s">
        <v>173</v>
      </c>
      <c r="R132" s="49" t="str">
        <f t="shared" ref="R132:R137" si="126">IF(OR(S132="Preventivo",S132="Detectivo"),"Probabilidad",IF(S132="Correctivo","Impacto",""))</f>
        <v>Probabilidad</v>
      </c>
      <c r="S132" s="12" t="s">
        <v>69</v>
      </c>
      <c r="T132" s="12" t="s">
        <v>62</v>
      </c>
      <c r="U132" s="50" t="str">
        <f>IF(AND(S132="Preventivo",T132="Automático"),"50%",IF(AND(S132="Preventivo",T132="Manual"),"40%",IF(AND(S132="Detectivo",T132="Automático"),"40%",IF(AND(S132="Detectivo",T132="Manual"),"30%",IF(AND(S132="Correctivo",T132="Automático"),"35%",IF(AND(S132="Correctivo",T132="Manual"),"25%",""))))))</f>
        <v>30%</v>
      </c>
      <c r="V132" s="12" t="s">
        <v>70</v>
      </c>
      <c r="W132" s="12" t="s">
        <v>64</v>
      </c>
      <c r="X132" s="12" t="s">
        <v>65</v>
      </c>
      <c r="Y132" s="51">
        <f>IFERROR(IF(R132="Probabilidad",(I132-(+I132*U132)),IF(R132="Impacto",I132,"")),"")</f>
        <v>0</v>
      </c>
      <c r="Z132" s="52" t="str">
        <f>IFERROR(IF(Y132="","",IF(Y132&lt;=0.2,"Muy Baja",IF(Y132&lt;=0.4,"Baja",IF(Y132&lt;=0.6,"Media",IF(Y132&lt;=0.8,"Alta","Muy Alta"))))),"")</f>
        <v>Muy Baja</v>
      </c>
      <c r="AA132" s="50">
        <f>+Y132</f>
        <v>0</v>
      </c>
      <c r="AB132" s="52" t="str">
        <f>IFERROR(IF(AC132="","",IF(AC132&lt;=0.2,"Leve",IF(AC132&lt;=0.4,"Menor",IF(AC132&lt;=0.6,"Moderado",IF(AC132&lt;=0.8,"Mayor","Catastrófico"))))),"")</f>
        <v>Mayor</v>
      </c>
      <c r="AC132" s="50">
        <f>IFERROR(IF(R132="Impacto",(M132-(+M132*U132)),IF(R132="Probabilidad",M132,"")),"")</f>
        <v>0.8</v>
      </c>
      <c r="AD132" s="53" t="str">
        <f>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Alto</v>
      </c>
      <c r="AE132" s="12" t="s">
        <v>66</v>
      </c>
      <c r="AF132" s="299"/>
      <c r="AG132" s="299"/>
      <c r="AH132" s="301"/>
      <c r="AI132" s="301"/>
      <c r="AJ132" s="301"/>
      <c r="AK132" s="12"/>
    </row>
    <row r="133" spans="1:37" ht="409.5">
      <c r="A133" s="231"/>
      <c r="B133" s="232"/>
      <c r="C133" s="304"/>
      <c r="D133" s="304"/>
      <c r="E133" s="305"/>
      <c r="F133" s="232"/>
      <c r="G133" s="232"/>
      <c r="H133" s="226"/>
      <c r="I133" s="225"/>
      <c r="J133" s="224"/>
      <c r="K133" s="292">
        <f ca="1">IF(NOT(ISERROR(MATCH(J133,_xlfn.ANCHORARRAY(#REF!),0))),#REF!&amp;"Por favor no seleccionar los criterios de impacto",J133)</f>
        <v>0</v>
      </c>
      <c r="L133" s="294"/>
      <c r="M133" s="296"/>
      <c r="N133" s="298"/>
      <c r="O133" s="1">
        <v>2</v>
      </c>
      <c r="P133" s="48" t="s">
        <v>174</v>
      </c>
      <c r="Q133" s="10" t="s">
        <v>175</v>
      </c>
      <c r="R133" s="49" t="str">
        <f t="shared" si="126"/>
        <v>Probabilidad</v>
      </c>
      <c r="S133" s="12" t="s">
        <v>61</v>
      </c>
      <c r="T133" s="12" t="s">
        <v>62</v>
      </c>
      <c r="U133" s="50" t="str">
        <f t="shared" ref="U133" si="127">IF(AND(S133="Preventivo",T133="Automático"),"50%",IF(AND(S133="Preventivo",T133="Manual"),"40%",IF(AND(S133="Detectivo",T133="Automático"),"40%",IF(AND(S133="Detectivo",T133="Manual"),"30%",IF(AND(S133="Correctivo",T133="Automático"),"35%",IF(AND(S133="Correctivo",T133="Manual"),"25%",""))))))</f>
        <v>40%</v>
      </c>
      <c r="V133" s="12" t="s">
        <v>63</v>
      </c>
      <c r="W133" s="12" t="s">
        <v>64</v>
      </c>
      <c r="X133" s="12" t="s">
        <v>65</v>
      </c>
      <c r="Y133" s="51">
        <f>IFERROR(IF(AND(R132="Probabilidad",R133="Probabilidad"),(AA132-(+AA132*U133)),IF(R133="Probabilidad",(I132-(+I132*U133)),IF(R133="Impacto",AA132,""))),"")</f>
        <v>0</v>
      </c>
      <c r="Z133" s="52" t="str">
        <f t="shared" ref="Z133" si="128">IFERROR(IF(Y133="","",IF(Y133&lt;=0.2,"Muy Baja",IF(Y133&lt;=0.4,"Baja",IF(Y133&lt;=0.6,"Media",IF(Y133&lt;=0.8,"Alta","Muy Alta"))))),"")</f>
        <v>Muy Baja</v>
      </c>
      <c r="AA133" s="50">
        <f t="shared" ref="AA133" si="129">+Y133</f>
        <v>0</v>
      </c>
      <c r="AB133" s="52" t="str">
        <f t="shared" ref="AB133" si="130">IFERROR(IF(AC133="","",IF(AC133&lt;=0.2,"Leve",IF(AC133&lt;=0.4,"Menor",IF(AC133&lt;=0.6,"Moderado",IF(AC133&lt;=0.8,"Mayor","Catastrófico"))))),"")</f>
        <v>Mayor</v>
      </c>
      <c r="AC133" s="50">
        <f>IFERROR(IF(AND(R132="Impacto",R133="Impacto"),(AC132-(+AC132*U133)),IF(R133="Impacto",($M$16-(+$M$16*U133)),IF(R133="Probabilidad",AC132,""))),"")</f>
        <v>0.8</v>
      </c>
      <c r="AD133" s="53" t="str">
        <f t="shared" ref="AD133" si="131">IFERROR(IF(OR(AND(Z133="Muy Baja",AB133="Leve"),AND(Z133="Muy Baja",AB133="Menor"),AND(Z133="Baja",AB133="Leve")),"Bajo",IF(OR(AND(Z133="Muy baja",AB133="Moderado"),AND(Z133="Baja",AB133="Menor"),AND(Z133="Baja",AB133="Moderado"),AND(Z133="Media",AB133="Leve"),AND(Z133="Media",AB133="Menor"),AND(Z133="Media",AB133="Moderado"),AND(Z133="Alta",AB133="Leve"),AND(Z133="Alta",AB133="Menor")),"Moderado",IF(OR(AND(Z133="Muy Baja",AB133="Mayor"),AND(Z133="Baja",AB133="Mayor"),AND(Z133="Media",AB133="Mayor"),AND(Z133="Alta",AB133="Moderado"),AND(Z133="Alta",AB133="Mayor"),AND(Z133="Muy Alta",AB133="Leve"),AND(Z133="Muy Alta",AB133="Menor"),AND(Z133="Muy Alta",AB133="Moderado"),AND(Z133="Muy Alta",AB133="Mayor")),"Alto",IF(OR(AND(Z133="Muy Baja",AB133="Catastrófico"),AND(Z133="Baja",AB133="Catastrófico"),AND(Z133="Media",AB133="Catastrófico"),AND(Z133="Alta",AB133="Catastrófico"),AND(Z133="Muy Alta",AB133="Catastrófico")),"Extremo","")))),"")</f>
        <v>Alto</v>
      </c>
      <c r="AE133" s="12" t="s">
        <v>66</v>
      </c>
      <c r="AF133" s="300"/>
      <c r="AG133" s="300"/>
      <c r="AH133" s="302"/>
      <c r="AI133" s="302"/>
      <c r="AJ133" s="302"/>
      <c r="AK133" s="12"/>
    </row>
    <row r="134" spans="1:37">
      <c r="A134" s="231">
        <v>9</v>
      </c>
      <c r="B134" s="232"/>
      <c r="C134" s="232"/>
      <c r="D134" s="232"/>
      <c r="E134" s="233"/>
      <c r="F134" s="232"/>
      <c r="G134" s="232"/>
      <c r="H134" s="226" t="str">
        <f>IF(G134="","",IF('[6]Mapa final'!G113='[6]Tabla probabilidad'!$C$4,"MUY BAJA",IF('[6]Mapa final'!G113='[6]Tabla probabilidad'!$C$5,"BAJA",IF('[6]Mapa final'!G113='[6]Tabla probabilidad'!$C$6,"MEDIA",IF('[6]Mapa final'!G113='[6]Tabla probabilidad'!$C$7,"ALTA",IF('[6]Mapa final'!G113='[6]Tabla probabilidad'!$C$8,"MUY ALTA"))))))</f>
        <v/>
      </c>
      <c r="I134" s="225" t="str">
        <f t="shared" ref="I134" si="132">IF(H134="","",IF(H134="Muy Baja",0.2,IF(H134="Baja",0.4,IF(H134="Media",0.6,IF(H134="Alta",0.8,IF(H134="Muy Alta",1,))))))</f>
        <v/>
      </c>
      <c r="J134" s="224"/>
      <c r="K134" s="225" t="str">
        <f>IF(J134="","",IF(NOT(ISERROR(MATCH(J134,'[6]Tabla Impacto'!$B$37:$B$39,0))),'[6]Tabla Impacto'!$F$37&amp;"Por favor no seleccionar los criterios de impacto(Afectación Económica o presupuestal y Pérdida Reputacional)",J134))</f>
        <v/>
      </c>
      <c r="L134" s="226" t="str">
        <f>IF(OR(J134='[6]Tabla Impacto'!$F$25,J134='[6]Tabla Impacto'!$F$31),"Leve",IF(OR(J134='[6]Tabla Impacto'!$F$26,J134='[6]Tabla Impacto'!$F$32),"Menor",IF(OR(J134='[6]Tabla Impacto'!$F$27,J134='[6]Tabla Impacto'!$F$33,J134='[6]Tabla Impacto'!$F$37),"Moderado",IF(OR(J134='[6]Tabla Impacto'!$F$28,J134='[6]Tabla Impacto'!$F$34,J134='[6]Tabla Impacto'!$F$38),"Mayor",IF(OR(J134='[6]Tabla Impacto'!$F$29,J134='[6]Tabla Impacto'!$F$35,J134='[6]Tabla Impacto'!$F$39),"Catastrófico","")))))</f>
        <v/>
      </c>
      <c r="M134" s="225" t="str">
        <f t="shared" ref="M134" si="133">IF(L134="","",IF(L134="Leve",0.2,IF(L134="Menor",0.4,IF(L134="Moderado",0.6,IF(L134="Mayor",0.8,IF(L134="Catastrófico",1,))))))</f>
        <v/>
      </c>
      <c r="N134" s="227" t="str">
        <f t="shared" ref="N134" si="134">IF(OR(AND(H134="Muy Baja",L134="Leve"),AND(H134="Muy Baja",L134="Menor"),AND(H134="Baja",L134="Leve")),"Bajo",IF(OR(AND(H134="Muy baja",L134="Moderado"),AND(H134="Baja",L134="Menor"),AND(H134="Baja",L134="Moderado"),AND(H134="Media",L134="Leve"),AND(H134="Media",L134="Menor"),AND(H134="Media",L134="Moderado"),AND(H134="Alta",L134="Leve"),AND(H134="Alta",L134="Menor")),"Moderado",IF(OR(AND(H134="Muy Baja",L134="Mayor"),AND(H134="Baja",L134="Mayor"),AND(H134="Media",L134="Mayor"),AND(H134="Alta",L134="Moderado"),AND(H134="Alta",L134="Mayor"),AND(H134="Muy Alta",L134="Leve"),AND(H134="Muy Alta",L134="Menor"),AND(H134="Muy Alta",L134="Moderado"),AND(H134="Muy Alta",L134="Mayor")),"Alto",IF(OR(AND(H134="Muy Baja",L134="Catastrófico"),AND(H134="Baja",L134="Catastrófico"),AND(H134="Media",L134="Catastrófico"),AND(H134="Alta",L134="Catastrófico"),AND(H134="Muy Alta",L134="Catastrófico")),"Extremo",""))))</f>
        <v/>
      </c>
      <c r="O134" s="23">
        <v>1</v>
      </c>
      <c r="P134" s="24"/>
      <c r="Q134" s="24"/>
      <c r="R134" s="23" t="str">
        <f t="shared" si="126"/>
        <v/>
      </c>
      <c r="S134" s="12"/>
      <c r="T134" s="12"/>
      <c r="U134" s="25" t="str">
        <f>IF(AND(S134="Preventivo",T134="Automático"),"50%",IF(AND(S134="Preventivo",T134="Manual"),"40%",IF(AND(S134="Detectivo",T134="Automático"),"40%",IF(AND(S134="Detectivo",T134="Manual"),"30%",IF(AND(S134="Correctivo",T134="Automático"),"35%",IF(AND(S134="Correctivo",T134="Manual"),"25%",""))))))</f>
        <v/>
      </c>
      <c r="V134" s="12"/>
      <c r="W134" s="12"/>
      <c r="X134" s="12"/>
      <c r="Y134" s="26" t="str">
        <f t="shared" ref="Y134:Y137" si="135">IFERROR(IF(R134="Probabilidad",(I134-(+I134*U134)),IF(R134="Impacto",I134,"")),"")</f>
        <v/>
      </c>
      <c r="Z134" s="19" t="str">
        <f>IFERROR(IF(Y134="","",IF(Y134&lt;=0.2,"Muy Baja",IF(Y134&lt;=0.4,"Baja",IF(Y134&lt;=0.6,"Media",IF(Y134&lt;=0.8,"Alta","Muy Alta"))))),"")</f>
        <v/>
      </c>
      <c r="AA134" s="25" t="str">
        <f>+Y134</f>
        <v/>
      </c>
      <c r="AB134" s="19" t="str">
        <f>IFERROR(IF(AC134="","",IF(AC134&lt;=0.2,"Leve",IF(AC134&lt;=0.4,"Menor",IF(AC134&lt;=0.6,"Moderado",IF(AC134&lt;=0.8,"Mayor","Catastrófico"))))),"")</f>
        <v/>
      </c>
      <c r="AC134" s="25" t="str">
        <f t="shared" ref="AC134:AC137" si="136">IFERROR(IF(R134="Impacto",(M134-(+M134*U134)),IF(R134="Probabilidad",M134,"")),"")</f>
        <v/>
      </c>
      <c r="AD134" s="2" t="str">
        <f>IFERROR(IF(OR(AND(Z134="Muy Baja",AB134="Leve"),AND(Z134="Muy Baja",AB134="Menor"),AND(Z134="Baja",AB134="Leve")),"Bajo",IF(OR(AND(Z134="Muy baja",AB134="Moderado"),AND(Z134="Baja",AB134="Menor"),AND(Z134="Baja",AB134="Moderado"),AND(Z134="Media",AB134="Leve"),AND(Z134="Media",AB134="Menor"),AND(Z134="Media",AB134="Moderado"),AND(Z134="Alta",AB134="Leve"),AND(Z134="Alta",AB134="Menor")),"Moderado",IF(OR(AND(Z134="Muy Baja",AB134="Mayor"),AND(Z134="Baja",AB134="Mayor"),AND(Z134="Media",AB134="Mayor"),AND(Z134="Alta",AB134="Moderado"),AND(Z134="Alta",AB134="Mayor"),AND(Z134="Muy Alta",AB134="Leve"),AND(Z134="Muy Alta",AB134="Menor"),AND(Z134="Muy Alta",AB134="Moderado"),AND(Z134="Muy Alta",AB134="Mayor")),"Alto",IF(OR(AND(Z134="Muy Baja",AB134="Catastrófico"),AND(Z134="Baja",AB134="Catastrófico"),AND(Z134="Media",AB134="Catastrófico"),AND(Z134="Alta",AB134="Catastrófico"),AND(Z134="Muy Alta",AB134="Catastrófico")),"Extremo","")))),"")</f>
        <v/>
      </c>
      <c r="AE134" s="12"/>
      <c r="AF134" s="18"/>
      <c r="AG134" s="12"/>
      <c r="AH134" s="27"/>
      <c r="AI134" s="27"/>
      <c r="AJ134" s="18"/>
      <c r="AK134" s="12"/>
    </row>
    <row r="135" spans="1:37">
      <c r="A135" s="231"/>
      <c r="B135" s="232"/>
      <c r="C135" s="232"/>
      <c r="D135" s="232"/>
      <c r="E135" s="233"/>
      <c r="F135" s="232"/>
      <c r="G135" s="232"/>
      <c r="H135" s="226"/>
      <c r="I135" s="225"/>
      <c r="J135" s="224"/>
      <c r="K135" s="225">
        <f ca="1">IF(NOT(ISERROR(MATCH(J135,_xlfn.ANCHORARRAY(E138),0))),#REF!&amp;"Por favor no seleccionar los criterios de impacto",J135)</f>
        <v>0</v>
      </c>
      <c r="L135" s="226"/>
      <c r="M135" s="225"/>
      <c r="N135" s="227"/>
      <c r="O135" s="23">
        <v>2</v>
      </c>
      <c r="P135" s="24"/>
      <c r="Q135" s="24"/>
      <c r="R135" s="23" t="str">
        <f t="shared" si="126"/>
        <v/>
      </c>
      <c r="S135" s="12"/>
      <c r="T135" s="12"/>
      <c r="U135" s="25" t="str">
        <f t="shared" ref="U135" si="137">IF(AND(S135="Preventivo",T135="Automático"),"50%",IF(AND(S135="Preventivo",T135="Manual"),"40%",IF(AND(S135="Detectivo",T135="Automático"),"40%",IF(AND(S135="Detectivo",T135="Manual"),"30%",IF(AND(S135="Correctivo",T135="Automático"),"35%",IF(AND(S135="Correctivo",T135="Manual"),"25%",""))))))</f>
        <v/>
      </c>
      <c r="V135" s="12"/>
      <c r="W135" s="12"/>
      <c r="X135" s="12"/>
      <c r="Y135" s="26" t="str">
        <f t="shared" si="135"/>
        <v/>
      </c>
      <c r="Z135" s="19" t="str">
        <f t="shared" ref="Z135:Z137" si="138">IFERROR(IF(Y135="","",IF(Y135&lt;=0.2,"Muy Baja",IF(Y135&lt;=0.4,"Baja",IF(Y135&lt;=0.6,"Media",IF(Y135&lt;=0.8,"Alta","Muy Alta"))))),"")</f>
        <v/>
      </c>
      <c r="AA135" s="25" t="str">
        <f t="shared" ref="AA135" si="139">+Y135</f>
        <v/>
      </c>
      <c r="AB135" s="19" t="str">
        <f t="shared" ref="AB135:AB137" si="140">IFERROR(IF(AC135="","",IF(AC135&lt;=0.2,"Leve",IF(AC135&lt;=0.4,"Menor",IF(AC135&lt;=0.6,"Moderado",IF(AC135&lt;=0.8,"Mayor","Catastrófico"))))),"")</f>
        <v/>
      </c>
      <c r="AC135" s="25" t="str">
        <f t="shared" si="136"/>
        <v/>
      </c>
      <c r="AD135" s="2" t="str">
        <f t="shared" ref="AD135" si="141">IFERROR(IF(OR(AND(Z135="Muy Baja",AB135="Leve"),AND(Z135="Muy Baja",AB135="Menor"),AND(Z135="Baja",AB135="Leve")),"Bajo",IF(OR(AND(Z135="Muy baja",AB135="Moderado"),AND(Z135="Baja",AB135="Menor"),AND(Z135="Baja",AB135="Moderado"),AND(Z135="Media",AB135="Leve"),AND(Z135="Media",AB135="Menor"),AND(Z135="Media",AB135="Moderado"),AND(Z135="Alta",AB135="Leve"),AND(Z135="Alta",AB135="Menor")),"Moderado",IF(OR(AND(Z135="Muy Baja",AB135="Mayor"),AND(Z135="Baja",AB135="Mayor"),AND(Z135="Media",AB135="Mayor"),AND(Z135="Alta",AB135="Moderado"),AND(Z135="Alta",AB135="Mayor"),AND(Z135="Muy Alta",AB135="Leve"),AND(Z135="Muy Alta",AB135="Menor"),AND(Z135="Muy Alta",AB135="Moderado"),AND(Z135="Muy Alta",AB135="Mayor")),"Alto",IF(OR(AND(Z135="Muy Baja",AB135="Catastrófico"),AND(Z135="Baja",AB135="Catastrófico"),AND(Z135="Media",AB135="Catastrófico"),AND(Z135="Alta",AB135="Catastrófico"),AND(Z135="Muy Alta",AB135="Catastrófico")),"Extremo","")))),"")</f>
        <v/>
      </c>
      <c r="AE135" s="12"/>
      <c r="AF135" s="18"/>
      <c r="AG135" s="12"/>
      <c r="AH135" s="27"/>
      <c r="AI135" s="27"/>
      <c r="AJ135" s="18"/>
      <c r="AK135" s="12"/>
    </row>
    <row r="136" spans="1:37">
      <c r="A136" s="231">
        <v>10</v>
      </c>
      <c r="B136" s="232"/>
      <c r="C136" s="232"/>
      <c r="D136" s="232"/>
      <c r="E136" s="233"/>
      <c r="F136" s="232"/>
      <c r="G136" s="232"/>
      <c r="H136" s="226" t="str">
        <f>IF(G136="","",IF('[6]Mapa final'!G115='[6]Tabla probabilidad'!$C$4,"MUY BAJA",IF('[6]Mapa final'!G115='[6]Tabla probabilidad'!$C$5,"BAJA",IF('[6]Mapa final'!G115='[6]Tabla probabilidad'!$C$6,"MEDIA",IF('[6]Mapa final'!G115='[6]Tabla probabilidad'!$C$7,"ALTA",IF('[6]Mapa final'!G115='[6]Tabla probabilidad'!$C$8,"MUY ALTA"))))))</f>
        <v/>
      </c>
      <c r="I136" s="225" t="str">
        <f t="shared" ref="I136" si="142">IF(H136="","",IF(H136="Muy Baja",0.2,IF(H136="Baja",0.4,IF(H136="Media",0.6,IF(H136="Alta",0.8,IF(H136="Muy Alta",1,))))))</f>
        <v/>
      </c>
      <c r="J136" s="224"/>
      <c r="K136" s="225" t="str">
        <f>IF(J136="","",IF(NOT(ISERROR(MATCH(J136,'[6]Tabla Impacto'!$B$37:$B$39,0))),'[6]Tabla Impacto'!$F$37&amp;"Por favor no seleccionar los criterios de impacto(Afectación Económica o presupuestal y Pérdida Reputacional)",J136))</f>
        <v/>
      </c>
      <c r="L136" s="226" t="str">
        <f>IF(OR(J136='[6]Tabla Impacto'!$F$25,J136='[6]Tabla Impacto'!$F$31),"Leve",IF(OR(J136='[6]Tabla Impacto'!$F$26,J136='[6]Tabla Impacto'!$F$32),"Menor",IF(OR(J136='[6]Tabla Impacto'!$F$27,J136='[6]Tabla Impacto'!$F$33,J136='[6]Tabla Impacto'!$F$37),"Moderado",IF(OR(J136='[6]Tabla Impacto'!$F$28,J136='[6]Tabla Impacto'!$F$34,J136='[6]Tabla Impacto'!$F$38),"Mayor",IF(OR(J136='[6]Tabla Impacto'!$F$29,J136='[6]Tabla Impacto'!$F$35,J136='[6]Tabla Impacto'!$F$39),"Catastrófico","")))))</f>
        <v/>
      </c>
      <c r="M136" s="225" t="str">
        <f t="shared" ref="M136" si="143">IF(L136="","",IF(L136="Leve",0.2,IF(L136="Menor",0.4,IF(L136="Moderado",0.6,IF(L136="Mayor",0.8,IF(L136="Catastrófico",1,))))))</f>
        <v/>
      </c>
      <c r="N136" s="227" t="str">
        <f t="shared" ref="N136" si="144">IF(OR(AND(H136="Muy Baja",L136="Leve"),AND(H136="Muy Baja",L136="Menor"),AND(H136="Baja",L136="Leve")),"Bajo",IF(OR(AND(H136="Muy baja",L136="Moderado"),AND(H136="Baja",L136="Menor"),AND(H136="Baja",L136="Moderado"),AND(H136="Media",L136="Leve"),AND(H136="Media",L136="Menor"),AND(H136="Media",L136="Moderado"),AND(H136="Alta",L136="Leve"),AND(H136="Alta",L136="Menor")),"Moderado",IF(OR(AND(H136="Muy Baja",L136="Mayor"),AND(H136="Baja",L136="Mayor"),AND(H136="Media",L136="Mayor"),AND(H136="Alta",L136="Moderado"),AND(H136="Alta",L136="Mayor"),AND(H136="Muy Alta",L136="Leve"),AND(H136="Muy Alta",L136="Menor"),AND(H136="Muy Alta",L136="Moderado"),AND(H136="Muy Alta",L136="Mayor")),"Alto",IF(OR(AND(H136="Muy Baja",L136="Catastrófico"),AND(H136="Baja",L136="Catastrófico"),AND(H136="Media",L136="Catastrófico"),AND(H136="Alta",L136="Catastrófico"),AND(H136="Muy Alta",L136="Catastrófico")),"Extremo",""))))</f>
        <v/>
      </c>
      <c r="O136" s="23">
        <v>1</v>
      </c>
      <c r="P136" s="24"/>
      <c r="Q136" s="24"/>
      <c r="R136" s="23" t="str">
        <f t="shared" si="126"/>
        <v/>
      </c>
      <c r="S136" s="12"/>
      <c r="T136" s="12"/>
      <c r="U136" s="25" t="str">
        <f>IF(AND(S136="Preventivo",T136="Automático"),"50%",IF(AND(S136="Preventivo",T136="Manual"),"40%",IF(AND(S136="Detectivo",T136="Automático"),"40%",IF(AND(S136="Detectivo",T136="Manual"),"30%",IF(AND(S136="Correctivo",T136="Automático"),"35%",IF(AND(S136="Correctivo",T136="Manual"),"25%",""))))))</f>
        <v/>
      </c>
      <c r="V136" s="12"/>
      <c r="W136" s="12"/>
      <c r="X136" s="12"/>
      <c r="Y136" s="26" t="str">
        <f t="shared" si="135"/>
        <v/>
      </c>
      <c r="Z136" s="19" t="str">
        <f>IFERROR(IF(Y136="","",IF(Y136&lt;=0.2,"Muy Baja",IF(Y136&lt;=0.4,"Baja",IF(Y136&lt;=0.6,"Media",IF(Y136&lt;=0.8,"Alta","Muy Alta"))))),"")</f>
        <v/>
      </c>
      <c r="AA136" s="25" t="str">
        <f>+Y136</f>
        <v/>
      </c>
      <c r="AB136" s="19" t="str">
        <f>IFERROR(IF(AC136="","",IF(AC136&lt;=0.2,"Leve",IF(AC136&lt;=0.4,"Menor",IF(AC136&lt;=0.6,"Moderado",IF(AC136&lt;=0.8,"Mayor","Catastrófico"))))),"")</f>
        <v/>
      </c>
      <c r="AC136" s="25" t="str">
        <f t="shared" si="136"/>
        <v/>
      </c>
      <c r="AD136" s="2" t="str">
        <f>IFERROR(IF(OR(AND(Z136="Muy Baja",AB136="Leve"),AND(Z136="Muy Baja",AB136="Menor"),AND(Z136="Baja",AB136="Leve")),"Bajo",IF(OR(AND(Z136="Muy baja",AB136="Moderado"),AND(Z136="Baja",AB136="Menor"),AND(Z136="Baja",AB136="Moderado"),AND(Z136="Media",AB136="Leve"),AND(Z136="Media",AB136="Menor"),AND(Z136="Media",AB136="Moderado"),AND(Z136="Alta",AB136="Leve"),AND(Z136="Alta",AB136="Menor")),"Moderado",IF(OR(AND(Z136="Muy Baja",AB136="Mayor"),AND(Z136="Baja",AB136="Mayor"),AND(Z136="Media",AB136="Mayor"),AND(Z136="Alta",AB136="Moderado"),AND(Z136="Alta",AB136="Mayor"),AND(Z136="Muy Alta",AB136="Leve"),AND(Z136="Muy Alta",AB136="Menor"),AND(Z136="Muy Alta",AB136="Moderado"),AND(Z136="Muy Alta",AB136="Mayor")),"Alto",IF(OR(AND(Z136="Muy Baja",AB136="Catastrófico"),AND(Z136="Baja",AB136="Catastrófico"),AND(Z136="Media",AB136="Catastrófico"),AND(Z136="Alta",AB136="Catastrófico"),AND(Z136="Muy Alta",AB136="Catastrófico")),"Extremo","")))),"")</f>
        <v/>
      </c>
      <c r="AE136" s="12"/>
      <c r="AF136" s="18"/>
      <c r="AG136" s="12"/>
      <c r="AH136" s="27"/>
      <c r="AI136" s="27"/>
      <c r="AJ136" s="18"/>
      <c r="AK136" s="12"/>
    </row>
    <row r="137" spans="1:37">
      <c r="A137" s="231"/>
      <c r="B137" s="232"/>
      <c r="C137" s="232"/>
      <c r="D137" s="232"/>
      <c r="E137" s="233"/>
      <c r="F137" s="232"/>
      <c r="G137" s="232"/>
      <c r="H137" s="226"/>
      <c r="I137" s="225"/>
      <c r="J137" s="224"/>
      <c r="K137" s="225">
        <f ca="1">IF(NOT(ISERROR(MATCH(J137,_xlfn.ANCHORARRAY(E139),0))),#REF!&amp;"Por favor no seleccionar los criterios de impacto",J137)</f>
        <v>0</v>
      </c>
      <c r="L137" s="226"/>
      <c r="M137" s="225"/>
      <c r="N137" s="227"/>
      <c r="O137" s="23">
        <v>2</v>
      </c>
      <c r="P137" s="24"/>
      <c r="Q137" s="24"/>
      <c r="R137" s="23" t="str">
        <f t="shared" si="126"/>
        <v/>
      </c>
      <c r="S137" s="12"/>
      <c r="T137" s="12"/>
      <c r="U137" s="25" t="str">
        <f t="shared" ref="U137" si="145">IF(AND(S137="Preventivo",T137="Automático"),"50%",IF(AND(S137="Preventivo",T137="Manual"),"40%",IF(AND(S137="Detectivo",T137="Automático"),"40%",IF(AND(S137="Detectivo",T137="Manual"),"30%",IF(AND(S137="Correctivo",T137="Automático"),"35%",IF(AND(S137="Correctivo",T137="Manual"),"25%",""))))))</f>
        <v/>
      </c>
      <c r="V137" s="12"/>
      <c r="W137" s="12"/>
      <c r="X137" s="12"/>
      <c r="Y137" s="26" t="str">
        <f t="shared" si="135"/>
        <v/>
      </c>
      <c r="Z137" s="19" t="str">
        <f t="shared" si="138"/>
        <v/>
      </c>
      <c r="AA137" s="25" t="str">
        <f t="shared" ref="AA137" si="146">+Y137</f>
        <v/>
      </c>
      <c r="AB137" s="19" t="str">
        <f t="shared" si="140"/>
        <v/>
      </c>
      <c r="AC137" s="25" t="str">
        <f t="shared" si="136"/>
        <v/>
      </c>
      <c r="AD137" s="2" t="str">
        <f t="shared" ref="AD137" si="147">IFERROR(IF(OR(AND(Z137="Muy Baja",AB137="Leve"),AND(Z137="Muy Baja",AB137="Menor"),AND(Z137="Baja",AB137="Leve")),"Bajo",IF(OR(AND(Z137="Muy baja",AB137="Moderado"),AND(Z137="Baja",AB137="Menor"),AND(Z137="Baja",AB137="Moderado"),AND(Z137="Media",AB137="Leve"),AND(Z137="Media",AB137="Menor"),AND(Z137="Media",AB137="Moderado"),AND(Z137="Alta",AB137="Leve"),AND(Z137="Alta",AB137="Menor")),"Moderado",IF(OR(AND(Z137="Muy Baja",AB137="Mayor"),AND(Z137="Baja",AB137="Mayor"),AND(Z137="Media",AB137="Mayor"),AND(Z137="Alta",AB137="Moderado"),AND(Z137="Alta",AB137="Mayor"),AND(Z137="Muy Alta",AB137="Leve"),AND(Z137="Muy Alta",AB137="Menor"),AND(Z137="Muy Alta",AB137="Moderado"),AND(Z137="Muy Alta",AB137="Mayor")),"Alto",IF(OR(AND(Z137="Muy Baja",AB137="Catastrófico"),AND(Z137="Baja",AB137="Catastrófico"),AND(Z137="Media",AB137="Catastrófico"),AND(Z137="Alta",AB137="Catastrófico"),AND(Z137="Muy Alta",AB137="Catastrófico")),"Extremo","")))),"")</f>
        <v/>
      </c>
      <c r="AE137" s="12"/>
      <c r="AF137" s="18"/>
      <c r="AG137" s="12"/>
      <c r="AH137" s="27"/>
      <c r="AI137" s="27"/>
      <c r="AJ137" s="18"/>
      <c r="AK137" s="12"/>
    </row>
    <row r="138" spans="1:37">
      <c r="A138" s="228" t="s">
        <v>97</v>
      </c>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30"/>
    </row>
    <row r="139" spans="1:37">
      <c r="A139" s="28"/>
      <c r="B139" s="29" t="s">
        <v>98</v>
      </c>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ht="16.5">
      <c r="A140" s="3"/>
      <c r="B140" s="3"/>
      <c r="C140" s="3"/>
      <c r="D140" s="3"/>
      <c r="E140" s="5"/>
      <c r="F140" s="3"/>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6.5">
      <c r="A141" s="3"/>
      <c r="B141" s="3"/>
      <c r="C141" s="3"/>
      <c r="D141" s="3"/>
      <c r="E141" s="5"/>
      <c r="F141" s="3"/>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16.5">
      <c r="A142" s="3"/>
      <c r="B142" s="3"/>
      <c r="C142" s="3"/>
      <c r="D142" s="3"/>
      <c r="E142" s="5"/>
      <c r="F142" s="3"/>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5" spans="1:37" ht="21">
      <c r="A145" s="348" t="s">
        <v>387</v>
      </c>
      <c r="B145" s="350"/>
      <c r="C145" s="350"/>
      <c r="D145" s="350"/>
    </row>
    <row r="152" spans="1:37" ht="16.5">
      <c r="A152" s="231"/>
      <c r="B152" s="231"/>
      <c r="C152" s="231"/>
      <c r="D152" s="231"/>
      <c r="E152" s="227" t="s">
        <v>0</v>
      </c>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53" t="s">
        <v>1</v>
      </c>
      <c r="AI152" s="253"/>
      <c r="AJ152" s="253"/>
      <c r="AK152" s="253"/>
    </row>
    <row r="153" spans="1:37" ht="16.5">
      <c r="A153" s="231"/>
      <c r="B153" s="231"/>
      <c r="C153" s="231"/>
      <c r="D153" s="231"/>
      <c r="E153" s="227" t="s">
        <v>2</v>
      </c>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53" t="s">
        <v>3</v>
      </c>
      <c r="AI153" s="253"/>
      <c r="AJ153" s="253"/>
      <c r="AK153" s="253"/>
    </row>
    <row r="154" spans="1:37" ht="16.5">
      <c r="A154" s="231"/>
      <c r="B154" s="231"/>
      <c r="C154" s="231"/>
      <c r="D154" s="231"/>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53" t="s">
        <v>4</v>
      </c>
      <c r="AI154" s="253"/>
      <c r="AJ154" s="253"/>
      <c r="AK154" s="253"/>
    </row>
    <row r="155" spans="1:37" ht="16.5">
      <c r="A155" s="3"/>
      <c r="B155" s="4"/>
      <c r="C155" s="3"/>
      <c r="D155" s="3"/>
      <c r="E155" s="5"/>
      <c r="F155" s="3"/>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31.5" customHeight="1">
      <c r="A156" s="254" t="s">
        <v>5</v>
      </c>
      <c r="B156" s="254"/>
      <c r="C156" s="255" t="s">
        <v>165</v>
      </c>
      <c r="D156" s="255"/>
      <c r="E156" s="255"/>
      <c r="F156" s="255"/>
      <c r="G156" s="255"/>
      <c r="H156" s="256" t="s">
        <v>7</v>
      </c>
      <c r="I156" s="256"/>
      <c r="J156" s="255" t="s">
        <v>176</v>
      </c>
      <c r="K156" s="255"/>
      <c r="L156" s="255"/>
      <c r="M156" s="255"/>
      <c r="N156" s="255"/>
      <c r="O156" s="256" t="s">
        <v>9</v>
      </c>
      <c r="P156" s="256"/>
      <c r="Q156" s="289" t="s">
        <v>177</v>
      </c>
      <c r="R156" s="290"/>
      <c r="S156" s="290"/>
      <c r="T156" s="290"/>
      <c r="U156" s="290"/>
      <c r="V156" s="290"/>
      <c r="W156" s="290"/>
      <c r="X156" s="290"/>
      <c r="Y156" s="290"/>
      <c r="Z156" s="290"/>
      <c r="AA156" s="290"/>
      <c r="AB156" s="290"/>
      <c r="AC156" s="290"/>
      <c r="AD156" s="290"/>
      <c r="AE156" s="291"/>
      <c r="AF156" s="6" t="s">
        <v>11</v>
      </c>
      <c r="AG156" s="260" t="s">
        <v>178</v>
      </c>
      <c r="AH156" s="260"/>
      <c r="AI156" s="260"/>
      <c r="AJ156" s="260"/>
      <c r="AK156" s="260"/>
    </row>
    <row r="157" spans="1:37">
      <c r="A157" s="245" t="s">
        <v>13</v>
      </c>
      <c r="B157" s="245"/>
      <c r="C157" s="245"/>
      <c r="D157" s="245"/>
      <c r="E157" s="245"/>
      <c r="F157" s="245"/>
      <c r="G157" s="245"/>
      <c r="H157" s="248" t="s">
        <v>14</v>
      </c>
      <c r="I157" s="248"/>
      <c r="J157" s="248"/>
      <c r="K157" s="248"/>
      <c r="L157" s="248"/>
      <c r="M157" s="248"/>
      <c r="N157" s="248"/>
      <c r="O157" s="261" t="s">
        <v>15</v>
      </c>
      <c r="P157" s="261"/>
      <c r="Q157" s="261"/>
      <c r="R157" s="261"/>
      <c r="S157" s="261"/>
      <c r="T157" s="261"/>
      <c r="U157" s="261"/>
      <c r="V157" s="261"/>
      <c r="W157" s="261"/>
      <c r="X157" s="261"/>
      <c r="Y157" s="262" t="s">
        <v>16</v>
      </c>
      <c r="Z157" s="262"/>
      <c r="AA157" s="262"/>
      <c r="AB157" s="262"/>
      <c r="AC157" s="262"/>
      <c r="AD157" s="262"/>
      <c r="AE157" s="262"/>
      <c r="AF157" s="243" t="s">
        <v>17</v>
      </c>
      <c r="AG157" s="243"/>
      <c r="AH157" s="243"/>
      <c r="AI157" s="243"/>
      <c r="AJ157" s="243"/>
      <c r="AK157" s="243"/>
    </row>
    <row r="158" spans="1:37">
      <c r="A158" s="244" t="s">
        <v>18</v>
      </c>
      <c r="B158" s="245" t="s">
        <v>19</v>
      </c>
      <c r="C158" s="246" t="s">
        <v>20</v>
      </c>
      <c r="D158" s="246" t="s">
        <v>21</v>
      </c>
      <c r="E158" s="245" t="s">
        <v>22</v>
      </c>
      <c r="F158" s="246" t="s">
        <v>23</v>
      </c>
      <c r="G158" s="246" t="s">
        <v>24</v>
      </c>
      <c r="H158" s="247" t="s">
        <v>25</v>
      </c>
      <c r="I158" s="248" t="s">
        <v>26</v>
      </c>
      <c r="J158" s="247" t="s">
        <v>27</v>
      </c>
      <c r="K158" s="247" t="s">
        <v>28</v>
      </c>
      <c r="L158" s="247" t="s">
        <v>29</v>
      </c>
      <c r="M158" s="248" t="s">
        <v>26</v>
      </c>
      <c r="N158" s="247" t="s">
        <v>30</v>
      </c>
      <c r="O158" s="249" t="s">
        <v>31</v>
      </c>
      <c r="P158" s="237" t="s">
        <v>32</v>
      </c>
      <c r="Q158" s="251" t="s">
        <v>33</v>
      </c>
      <c r="R158" s="237" t="s">
        <v>34</v>
      </c>
      <c r="S158" s="237" t="s">
        <v>35</v>
      </c>
      <c r="T158" s="237"/>
      <c r="U158" s="237"/>
      <c r="V158" s="237"/>
      <c r="W158" s="237"/>
      <c r="X158" s="237"/>
      <c r="Y158" s="236" t="s">
        <v>36</v>
      </c>
      <c r="Z158" s="236" t="s">
        <v>37</v>
      </c>
      <c r="AA158" s="236" t="s">
        <v>26</v>
      </c>
      <c r="AB158" s="236" t="s">
        <v>38</v>
      </c>
      <c r="AC158" s="236" t="s">
        <v>26</v>
      </c>
      <c r="AD158" s="236" t="s">
        <v>39</v>
      </c>
      <c r="AE158" s="236" t="s">
        <v>40</v>
      </c>
      <c r="AF158" s="250" t="s">
        <v>17</v>
      </c>
      <c r="AG158" s="250" t="s">
        <v>41</v>
      </c>
      <c r="AH158" s="250" t="s">
        <v>42</v>
      </c>
      <c r="AI158" s="250" t="s">
        <v>43</v>
      </c>
      <c r="AJ158" s="250" t="s">
        <v>44</v>
      </c>
      <c r="AK158" s="250" t="s">
        <v>45</v>
      </c>
    </row>
    <row r="159" spans="1:37" ht="81.75">
      <c r="A159" s="244"/>
      <c r="B159" s="245"/>
      <c r="C159" s="246"/>
      <c r="D159" s="246"/>
      <c r="E159" s="245"/>
      <c r="F159" s="246"/>
      <c r="G159" s="246"/>
      <c r="H159" s="247"/>
      <c r="I159" s="248"/>
      <c r="J159" s="247"/>
      <c r="K159" s="247"/>
      <c r="L159" s="248"/>
      <c r="M159" s="248"/>
      <c r="N159" s="247"/>
      <c r="O159" s="249"/>
      <c r="P159" s="237"/>
      <c r="Q159" s="252"/>
      <c r="R159" s="237"/>
      <c r="S159" s="7" t="s">
        <v>46</v>
      </c>
      <c r="T159" s="7" t="s">
        <v>47</v>
      </c>
      <c r="U159" s="7" t="s">
        <v>48</v>
      </c>
      <c r="V159" s="7" t="s">
        <v>49</v>
      </c>
      <c r="W159" s="7" t="s">
        <v>50</v>
      </c>
      <c r="X159" s="7" t="s">
        <v>51</v>
      </c>
      <c r="Y159" s="236"/>
      <c r="Z159" s="236"/>
      <c r="AA159" s="236"/>
      <c r="AB159" s="236"/>
      <c r="AC159" s="236"/>
      <c r="AD159" s="236"/>
      <c r="AE159" s="236"/>
      <c r="AF159" s="250"/>
      <c r="AG159" s="250"/>
      <c r="AH159" s="250"/>
      <c r="AI159" s="250"/>
      <c r="AJ159" s="250"/>
      <c r="AK159" s="250"/>
    </row>
    <row r="160" spans="1:37" ht="344.25">
      <c r="A160" s="263">
        <v>1</v>
      </c>
      <c r="B160" s="265" t="s">
        <v>140</v>
      </c>
      <c r="C160" s="267" t="s">
        <v>179</v>
      </c>
      <c r="D160" s="269" t="s">
        <v>180</v>
      </c>
      <c r="E160" s="271" t="s">
        <v>181</v>
      </c>
      <c r="F160" s="273" t="s">
        <v>56</v>
      </c>
      <c r="G160" s="273" t="s">
        <v>57</v>
      </c>
      <c r="H160" s="275" t="b">
        <f>IF(G160="","",IF('[8]Mapa final'!G139='[8]Tabla probabilidad'!$C$4,"MUY BAJA",IF('[8]Mapa final'!G139='[8]Tabla probabilidad'!$C$5,"BAJA",IF('[8]Mapa final'!G139='[8]Tabla probabilidad'!$C$6,"MEDIA",IF('[8]Mapa final'!G139='[8]Tabla probabilidad'!$C$7,"ALTA",IF('[8]Mapa final'!G139='[8]Tabla probabilidad'!$C$8,"MUY ALTA"))))))</f>
        <v>0</v>
      </c>
      <c r="I160" s="277">
        <f t="shared" ref="I160" si="148">IF(H160="","",IF(H160="Muy Baja",0.2,IF(H160="Baja",0.4,IF(H160="Media",0.6,IF(H160="Alta",0.8,IF(H160="Muy Alta",1,))))))</f>
        <v>0</v>
      </c>
      <c r="J160" s="279" t="s">
        <v>182</v>
      </c>
      <c r="K160" s="281" t="s">
        <v>182</v>
      </c>
      <c r="L160" s="283" t="s">
        <v>183</v>
      </c>
      <c r="M160" s="285">
        <v>0.6</v>
      </c>
      <c r="N160" s="287" t="s">
        <v>183</v>
      </c>
      <c r="O160" s="55">
        <v>1</v>
      </c>
      <c r="P160" s="56" t="s">
        <v>184</v>
      </c>
      <c r="Q160" s="57" t="s">
        <v>185</v>
      </c>
      <c r="R160" s="55" t="s">
        <v>186</v>
      </c>
      <c r="S160" s="12" t="s">
        <v>61</v>
      </c>
      <c r="T160" s="12" t="s">
        <v>62</v>
      </c>
      <c r="U160" s="58" t="s">
        <v>187</v>
      </c>
      <c r="V160" s="12" t="s">
        <v>70</v>
      </c>
      <c r="W160" s="12" t="s">
        <v>64</v>
      </c>
      <c r="X160" s="12" t="s">
        <v>65</v>
      </c>
      <c r="Y160" s="59">
        <v>0.36</v>
      </c>
      <c r="Z160" s="60" t="s">
        <v>188</v>
      </c>
      <c r="AA160" s="58">
        <v>0.36</v>
      </c>
      <c r="AB160" s="60" t="s">
        <v>183</v>
      </c>
      <c r="AC160" s="58">
        <v>0.6</v>
      </c>
      <c r="AD160" s="61" t="s">
        <v>183</v>
      </c>
      <c r="AE160" s="12" t="s">
        <v>66</v>
      </c>
      <c r="AF160" s="62"/>
      <c r="AG160" s="63"/>
      <c r="AH160" s="64"/>
      <c r="AI160" s="64"/>
      <c r="AJ160" s="63"/>
      <c r="AK160" s="12"/>
    </row>
    <row r="161" spans="1:37">
      <c r="A161" s="264"/>
      <c r="B161" s="266"/>
      <c r="C161" s="268"/>
      <c r="D161" s="270"/>
      <c r="E161" s="272"/>
      <c r="F161" s="274"/>
      <c r="G161" s="274"/>
      <c r="H161" s="276"/>
      <c r="I161" s="278"/>
      <c r="J161" s="280"/>
      <c r="K161" s="282"/>
      <c r="L161" s="284"/>
      <c r="M161" s="286"/>
      <c r="N161" s="288"/>
      <c r="O161" s="55">
        <v>2</v>
      </c>
      <c r="P161" s="56"/>
      <c r="Q161" s="56"/>
      <c r="R161" s="55" t="s">
        <v>189</v>
      </c>
      <c r="S161" s="65"/>
      <c r="T161" s="65"/>
      <c r="U161" s="58" t="s">
        <v>189</v>
      </c>
      <c r="V161" s="65"/>
      <c r="W161" s="65"/>
      <c r="X161" s="65"/>
      <c r="Y161" s="59" t="s">
        <v>189</v>
      </c>
      <c r="Z161" s="60" t="s">
        <v>189</v>
      </c>
      <c r="AA161" s="58" t="s">
        <v>189</v>
      </c>
      <c r="AB161" s="60" t="s">
        <v>189</v>
      </c>
      <c r="AC161" s="58" t="s">
        <v>189</v>
      </c>
      <c r="AD161" s="61" t="s">
        <v>189</v>
      </c>
      <c r="AE161" s="66"/>
      <c r="AF161" s="63"/>
      <c r="AG161" s="67"/>
      <c r="AH161" s="64"/>
      <c r="AI161" s="64"/>
      <c r="AJ161" s="63"/>
      <c r="AK161" s="12"/>
    </row>
    <row r="162" spans="1:37" ht="382.5">
      <c r="A162" s="68">
        <v>3</v>
      </c>
      <c r="B162" s="18" t="s">
        <v>140</v>
      </c>
      <c r="C162" s="69" t="s">
        <v>190</v>
      </c>
      <c r="D162" s="69" t="s">
        <v>191</v>
      </c>
      <c r="E162" s="69" t="s">
        <v>192</v>
      </c>
      <c r="F162" s="18" t="s">
        <v>56</v>
      </c>
      <c r="G162" s="18" t="s">
        <v>57</v>
      </c>
      <c r="H162" s="19" t="b">
        <f>IF(G162="","",IF('[8]Mapa final'!G141='[8]Tabla probabilidad'!$C$4,"MUY BAJA",IF('[8]Mapa final'!G141='[8]Tabla probabilidad'!$C$5,"BAJA",IF('[8]Mapa final'!G141='[8]Tabla probabilidad'!$C$6,"MEDIA",IF('[8]Mapa final'!G141='[8]Tabla probabilidad'!$C$7,"ALTA",IF('[8]Mapa final'!G141='[8]Tabla probabilidad'!$C$8,"MUY ALTA"))))))</f>
        <v>0</v>
      </c>
      <c r="I162" s="20">
        <f t="shared" ref="I162:I163" si="149">IF(H162="","",IF(H162="Muy Baja",0.2,IF(H162="Baja",0.4,IF(H162="Media",0.6,IF(H162="Alta",0.8,IF(H162="Muy Alta",1,))))))</f>
        <v>0</v>
      </c>
      <c r="J162" s="21" t="s">
        <v>182</v>
      </c>
      <c r="K162" s="20" t="str">
        <f>IF(J162="","",IF(NOT(ISERROR(MATCH(J162,'[8]Tabla Impacto'!$B$37:$B$39,0))),'[8]Tabla Impacto'!$F$37&amp;"Por favor no seleccionar los criterios de impacto(Afectación Económica o presupuestal y Pérdida Reputacional)",J162))</f>
        <v xml:space="preserve">     Entre 50 y 100 SMLMV </v>
      </c>
      <c r="L162" s="54" t="s">
        <v>193</v>
      </c>
      <c r="M162" s="70">
        <v>0.8</v>
      </c>
      <c r="N162" s="71" t="s">
        <v>194</v>
      </c>
      <c r="O162" s="55">
        <v>1</v>
      </c>
      <c r="P162" s="56" t="s">
        <v>195</v>
      </c>
      <c r="Q162" s="69" t="s">
        <v>196</v>
      </c>
      <c r="R162" s="55" t="s">
        <v>186</v>
      </c>
      <c r="S162" s="12" t="s">
        <v>61</v>
      </c>
      <c r="T162" s="12" t="s">
        <v>62</v>
      </c>
      <c r="U162" s="58" t="s">
        <v>187</v>
      </c>
      <c r="V162" s="12" t="s">
        <v>63</v>
      </c>
      <c r="W162" s="12" t="s">
        <v>64</v>
      </c>
      <c r="X162" s="12" t="s">
        <v>65</v>
      </c>
      <c r="Y162" s="59">
        <v>0.24</v>
      </c>
      <c r="Z162" s="60" t="s">
        <v>188</v>
      </c>
      <c r="AA162" s="58">
        <v>0.24</v>
      </c>
      <c r="AB162" s="60" t="s">
        <v>193</v>
      </c>
      <c r="AC162" s="58">
        <v>0.8</v>
      </c>
      <c r="AD162" s="61" t="s">
        <v>194</v>
      </c>
      <c r="AE162" s="12" t="s">
        <v>66</v>
      </c>
      <c r="AF162" s="63"/>
      <c r="AG162" s="63"/>
      <c r="AH162" s="64"/>
      <c r="AI162" s="64"/>
      <c r="AJ162" s="63"/>
      <c r="AK162" s="12"/>
    </row>
    <row r="163" spans="1:37" ht="127.5">
      <c r="A163" s="238">
        <v>5</v>
      </c>
      <c r="B163" s="232" t="s">
        <v>71</v>
      </c>
      <c r="C163" s="232" t="s">
        <v>197</v>
      </c>
      <c r="D163" s="232" t="s">
        <v>198</v>
      </c>
      <c r="E163" s="233" t="s">
        <v>199</v>
      </c>
      <c r="F163" s="232" t="s">
        <v>56</v>
      </c>
      <c r="G163" s="232" t="s">
        <v>57</v>
      </c>
      <c r="H163" s="226" t="b">
        <f>IF(G163="","",IF('[8]Mapa final'!G142='[8]Tabla probabilidad'!$C$4,"MUY BAJA",IF('[8]Mapa final'!G142='[8]Tabla probabilidad'!$C$5,"BAJA",IF('[8]Mapa final'!G142='[8]Tabla probabilidad'!$C$6,"MEDIA",IF('[8]Mapa final'!G142='[8]Tabla probabilidad'!$C$7,"ALTA",IF('[8]Mapa final'!G142='[8]Tabla probabilidad'!$C$8,"MUY ALTA"))))))</f>
        <v>0</v>
      </c>
      <c r="I163" s="225">
        <f t="shared" si="149"/>
        <v>0</v>
      </c>
      <c r="J163" s="224" t="s">
        <v>77</v>
      </c>
      <c r="K163" s="225" t="str">
        <f>IF(J163="","",IF(NOT(ISERROR(MATCH(J163,'[8]Tabla Impacto'!$B$37:$B$39,0))),'[8]Tabla Impacto'!$F$37&amp;"Por favor no seleccionar los criterios de impacto(Afectación Económica o presupuestal y Pérdida Reputacional)",J163))</f>
        <v xml:space="preserve">     El riesgo afecta la imagen de la entidad con algunos usuarios de relevancia frente al logro de los objetivos</v>
      </c>
      <c r="L163" s="226" t="str">
        <f>IF(OR(J163='[8]Tabla Impacto'!$F$25,J163='[8]Tabla Impacto'!$F$31),"Leve",IF(OR(J163='[8]Tabla Impacto'!$F$26,J163='[8]Tabla Impacto'!$F$32),"Menor",IF(OR(J163='[8]Tabla Impacto'!$F$27,J163='[8]Tabla Impacto'!$F$33,J163='[8]Tabla Impacto'!$F$37),"Moderado",IF(OR(J163='[8]Tabla Impacto'!$F$28,J163='[8]Tabla Impacto'!$F$34,J163='[8]Tabla Impacto'!$F$38),"Mayor",IF(OR(J163='[8]Tabla Impacto'!$F$29,J163='[8]Tabla Impacto'!$F$35,J163='[8]Tabla Impacto'!$F$39),"Catastrófico","")))))</f>
        <v>Moderado</v>
      </c>
      <c r="M163" s="225">
        <f t="shared" ref="M163" si="150">IF(L163="","",IF(L163="Leve",0.2,IF(L163="Menor",0.4,IF(L163="Moderado",0.6,IF(L163="Mayor",0.8,IF(L163="Catastrófico",1,))))))</f>
        <v>0.6</v>
      </c>
      <c r="N163" s="227" t="str">
        <f t="shared" ref="N163" si="151">IF(OR(AND(H163="Muy Baja",L163="Leve"),AND(H163="Muy Baja",L163="Menor"),AND(H163="Baja",L163="Leve")),"Bajo",IF(OR(AND(H163="Muy baja",L163="Moderado"),AND(H163="Baja",L163="Menor"),AND(H163="Baja",L163="Moderado"),AND(H163="Media",L163="Leve"),AND(H163="Media",L163="Menor"),AND(H163="Media",L163="Moderado"),AND(H163="Alta",L163="Leve"),AND(H163="Alta",L163="Menor")),"Moderado",IF(OR(AND(H163="Muy Baja",L163="Mayor"),AND(H163="Baja",L163="Mayor"),AND(H163="Media",L163="Mayor"),AND(H163="Alta",L163="Moderado"),AND(H163="Alta",L163="Mayor"),AND(H163="Muy Alta",L163="Leve"),AND(H163="Muy Alta",L163="Menor"),AND(H163="Muy Alta",L163="Moderado"),AND(H163="Muy Alta",L163="Mayor")),"Alto",IF(OR(AND(H163="Muy Baja",L163="Catastrófico"),AND(H163="Baja",L163="Catastrófico"),AND(H163="Media",L163="Catastrófico"),AND(H163="Alta",L163="Catastrófico"),AND(H163="Muy Alta",L163="Catastrófico")),"Extremo",""))))</f>
        <v/>
      </c>
      <c r="O163" s="23">
        <v>1</v>
      </c>
      <c r="P163" s="24" t="s">
        <v>200</v>
      </c>
      <c r="Q163" s="44" t="s">
        <v>201</v>
      </c>
      <c r="R163" s="23" t="str">
        <f t="shared" ref="R163:R166" si="152">IF(OR(S163="Preventivo",S163="Detectivo"),"Probabilidad",IF(S163="Correctivo","Impacto",""))</f>
        <v>Probabilidad</v>
      </c>
      <c r="S163" s="12" t="s">
        <v>61</v>
      </c>
      <c r="T163" s="12" t="s">
        <v>62</v>
      </c>
      <c r="U163" s="25" t="str">
        <f>IF(AND(S163="Preventivo",T163="Automático"),"50%",IF(AND(S163="Preventivo",T163="Manual"),"40%",IF(AND(S163="Detectivo",T163="Automático"),"40%",IF(AND(S163="Detectivo",T163="Manual"),"30%",IF(AND(S163="Correctivo",T163="Automático"),"35%",IF(AND(S163="Correctivo",T163="Manual"),"25%",""))))))</f>
        <v>40%</v>
      </c>
      <c r="V163" s="12" t="s">
        <v>70</v>
      </c>
      <c r="W163" s="12" t="s">
        <v>64</v>
      </c>
      <c r="X163" s="12" t="s">
        <v>65</v>
      </c>
      <c r="Y163" s="26">
        <f t="shared" ref="Y163:Y166" si="153">IFERROR(IF(R163="Probabilidad",(I163-(+I163*U163)),IF(R163="Impacto",I163,"")),"")</f>
        <v>0</v>
      </c>
      <c r="Z163" s="19" t="str">
        <f>IFERROR(IF(Y163="","",IF(Y163&lt;=0.2,"Muy Baja",IF(Y163&lt;=0.4,"Baja",IF(Y163&lt;=0.6,"Media",IF(Y163&lt;=0.8,"Alta","Muy Alta"))))),"")</f>
        <v>Muy Baja</v>
      </c>
      <c r="AA163" s="25">
        <f>+Y163</f>
        <v>0</v>
      </c>
      <c r="AB163" s="19" t="str">
        <f>IFERROR(IF(AC163="","",IF(AC163&lt;=0.2,"Leve",IF(AC163&lt;=0.4,"Menor",IF(AC163&lt;=0.6,"Moderado",IF(AC163&lt;=0.8,"Mayor","Catastrófico"))))),"")</f>
        <v>Moderado</v>
      </c>
      <c r="AC163" s="25">
        <f t="shared" ref="AC163:AC166" si="154">IFERROR(IF(R163="Impacto",(M163-(+M163*U163)),IF(R163="Probabilidad",M163,"")),"")</f>
        <v>0.6</v>
      </c>
      <c r="AD163" s="2" t="str">
        <f>IFERROR(IF(OR(AND(Z163="Muy Baja",AB163="Leve"),AND(Z163="Muy Baja",AB163="Menor"),AND(Z163="Baja",AB163="Leve")),"Bajo",IF(OR(AND(Z163="Muy baja",AB163="Moderado"),AND(Z163="Baja",AB163="Menor"),AND(Z163="Baja",AB163="Moderado"),AND(Z163="Media",AB163="Leve"),AND(Z163="Media",AB163="Menor"),AND(Z163="Media",AB163="Moderado"),AND(Z163="Alta",AB163="Leve"),AND(Z163="Alta",AB163="Menor")),"Moderado",IF(OR(AND(Z163="Muy Baja",AB163="Mayor"),AND(Z163="Baja",AB163="Mayor"),AND(Z163="Media",AB163="Mayor"),AND(Z163="Alta",AB163="Moderado"),AND(Z163="Alta",AB163="Mayor"),AND(Z163="Muy Alta",AB163="Leve"),AND(Z163="Muy Alta",AB163="Menor"),AND(Z163="Muy Alta",AB163="Moderado"),AND(Z163="Muy Alta",AB163="Mayor")),"Alto",IF(OR(AND(Z163="Muy Baja",AB163="Catastrófico"),AND(Z163="Baja",AB163="Catastrófico"),AND(Z163="Media",AB163="Catastrófico"),AND(Z163="Alta",AB163="Catastrófico"),AND(Z163="Muy Alta",AB163="Catastrófico")),"Extremo","")))),"")</f>
        <v>Moderado</v>
      </c>
      <c r="AE163" s="12" t="s">
        <v>66</v>
      </c>
      <c r="AF163" s="18"/>
      <c r="AG163" s="12"/>
      <c r="AH163" s="27"/>
      <c r="AI163" s="27"/>
      <c r="AJ163" s="18"/>
      <c r="AK163" s="12"/>
    </row>
    <row r="164" spans="1:37" ht="114.75">
      <c r="A164" s="239"/>
      <c r="B164" s="232"/>
      <c r="C164" s="232"/>
      <c r="D164" s="232"/>
      <c r="E164" s="233"/>
      <c r="F164" s="232"/>
      <c r="G164" s="232"/>
      <c r="H164" s="226"/>
      <c r="I164" s="225"/>
      <c r="J164" s="224"/>
      <c r="K164" s="225">
        <f ca="1">IF(NOT(ISERROR(MATCH(J164,_xlfn.ANCHORARRAY(E167),0))),#REF!&amp;"Por favor no seleccionar los criterios de impacto",J164)</f>
        <v>0</v>
      </c>
      <c r="L164" s="226"/>
      <c r="M164" s="225"/>
      <c r="N164" s="227"/>
      <c r="O164" s="23">
        <v>2</v>
      </c>
      <c r="P164" s="24" t="s">
        <v>202</v>
      </c>
      <c r="Q164" s="44" t="s">
        <v>203</v>
      </c>
      <c r="R164" s="23" t="str">
        <f t="shared" si="152"/>
        <v>Probabilidad</v>
      </c>
      <c r="S164" s="12" t="s">
        <v>61</v>
      </c>
      <c r="T164" s="12" t="s">
        <v>62</v>
      </c>
      <c r="U164" s="25" t="str">
        <f t="shared" ref="U164" si="155">IF(AND(S164="Preventivo",T164="Automático"),"50%",IF(AND(S164="Preventivo",T164="Manual"),"40%",IF(AND(S164="Detectivo",T164="Automático"),"40%",IF(AND(S164="Detectivo",T164="Manual"),"30%",IF(AND(S164="Correctivo",T164="Automático"),"35%",IF(AND(S164="Correctivo",T164="Manual"),"25%",""))))))</f>
        <v>40%</v>
      </c>
      <c r="V164" s="12" t="s">
        <v>70</v>
      </c>
      <c r="W164" s="12" t="s">
        <v>123</v>
      </c>
      <c r="X164" s="12" t="s">
        <v>65</v>
      </c>
      <c r="Y164" s="26">
        <f t="shared" si="153"/>
        <v>0</v>
      </c>
      <c r="Z164" s="19" t="str">
        <f t="shared" ref="Z164:Z166" si="156">IFERROR(IF(Y164="","",IF(Y164&lt;=0.2,"Muy Baja",IF(Y164&lt;=0.4,"Baja",IF(Y164&lt;=0.6,"Media",IF(Y164&lt;=0.8,"Alta","Muy Alta"))))),"")</f>
        <v>Muy Baja</v>
      </c>
      <c r="AA164" s="25">
        <f t="shared" ref="AA164" si="157">+Y164</f>
        <v>0</v>
      </c>
      <c r="AB164" s="19" t="str">
        <f t="shared" ref="AB164:AB166" si="158">IFERROR(IF(AC164="","",IF(AC164&lt;=0.2,"Leve",IF(AC164&lt;=0.4,"Menor",IF(AC164&lt;=0.6,"Moderado",IF(AC164&lt;=0.8,"Mayor","Catastrófico"))))),"")</f>
        <v>Leve</v>
      </c>
      <c r="AC164" s="25">
        <f t="shared" si="154"/>
        <v>0</v>
      </c>
      <c r="AD164" s="2" t="str">
        <f t="shared" ref="AD164" si="159">IFERROR(IF(OR(AND(Z164="Muy Baja",AB164="Leve"),AND(Z164="Muy Baja",AB164="Menor"),AND(Z164="Baja",AB164="Leve")),"Bajo",IF(OR(AND(Z164="Muy baja",AB164="Moderado"),AND(Z164="Baja",AB164="Menor"),AND(Z164="Baja",AB164="Moderado"),AND(Z164="Media",AB164="Leve"),AND(Z164="Media",AB164="Menor"),AND(Z164="Media",AB164="Moderado"),AND(Z164="Alta",AB164="Leve"),AND(Z164="Alta",AB164="Menor")),"Moderado",IF(OR(AND(Z164="Muy Baja",AB164="Mayor"),AND(Z164="Baja",AB164="Mayor"),AND(Z164="Media",AB164="Mayor"),AND(Z164="Alta",AB164="Moderado"),AND(Z164="Alta",AB164="Mayor"),AND(Z164="Muy Alta",AB164="Leve"),AND(Z164="Muy Alta",AB164="Menor"),AND(Z164="Muy Alta",AB164="Moderado"),AND(Z164="Muy Alta",AB164="Mayor")),"Alto",IF(OR(AND(Z164="Muy Baja",AB164="Catastrófico"),AND(Z164="Baja",AB164="Catastrófico"),AND(Z164="Media",AB164="Catastrófico"),AND(Z164="Alta",AB164="Catastrófico"),AND(Z164="Muy Alta",AB164="Catastrófico")),"Extremo","")))),"")</f>
        <v>Bajo</v>
      </c>
      <c r="AE164" s="12" t="s">
        <v>66</v>
      </c>
      <c r="AF164" s="18"/>
      <c r="AG164" s="12"/>
      <c r="AH164" s="27"/>
      <c r="AI164" s="27"/>
      <c r="AJ164" s="18"/>
      <c r="AK164" s="12"/>
    </row>
    <row r="165" spans="1:37">
      <c r="A165" s="238">
        <v>6</v>
      </c>
      <c r="B165" s="232"/>
      <c r="C165" s="232"/>
      <c r="D165" s="232"/>
      <c r="E165" s="233"/>
      <c r="F165" s="232"/>
      <c r="G165" s="232"/>
      <c r="H165" s="226" t="str">
        <f>IF(G165="","",IF('[8]Mapa final'!G144='[8]Tabla probabilidad'!$C$4,"MUY BAJA",IF('[8]Mapa final'!G144='[8]Tabla probabilidad'!$C$5,"BAJA",IF('[8]Mapa final'!G144='[8]Tabla probabilidad'!$C$6,"MEDIA",IF('[8]Mapa final'!G144='[8]Tabla probabilidad'!$C$7,"ALTA",IF('[8]Mapa final'!G144='[8]Tabla probabilidad'!$C$8,"MUY ALTA"))))))</f>
        <v/>
      </c>
      <c r="I165" s="225" t="str">
        <f t="shared" ref="I165" si="160">IF(H165="","",IF(H165="Muy Baja",0.2,IF(H165="Baja",0.4,IF(H165="Media",0.6,IF(H165="Alta",0.8,IF(H165="Muy Alta",1,))))))</f>
        <v/>
      </c>
      <c r="J165" s="224"/>
      <c r="K165" s="225" t="str">
        <f>IF(J165="","",IF(NOT(ISERROR(MATCH(J165,'[8]Tabla Impacto'!$B$37:$B$39,0))),'[8]Tabla Impacto'!$F$37&amp;"Por favor no seleccionar los criterios de impacto(Afectación Económica o presupuestal y Pérdida Reputacional)",J165))</f>
        <v/>
      </c>
      <c r="L165" s="226" t="str">
        <f>IF(OR(J165='[8]Tabla Impacto'!$F$25,J165='[8]Tabla Impacto'!$F$31),"Leve",IF(OR(J165='[8]Tabla Impacto'!$F$26,J165='[8]Tabla Impacto'!$F$32),"Menor",IF(OR(J165='[8]Tabla Impacto'!$F$27,J165='[8]Tabla Impacto'!$F$33,J165='[8]Tabla Impacto'!$F$37),"Moderado",IF(OR(J165='[8]Tabla Impacto'!$F$28,J165='[8]Tabla Impacto'!$F$34,J165='[8]Tabla Impacto'!$F$38),"Mayor",IF(OR(J165='[8]Tabla Impacto'!$F$29,J165='[8]Tabla Impacto'!$F$35,J165='[8]Tabla Impacto'!$F$39),"Catastrófico","")))))</f>
        <v/>
      </c>
      <c r="M165" s="225" t="str">
        <f t="shared" ref="M165" si="161">IF(L165="","",IF(L165="Leve",0.2,IF(L165="Menor",0.4,IF(L165="Moderado",0.6,IF(L165="Mayor",0.8,IF(L165="Catastrófico",1,))))))</f>
        <v/>
      </c>
      <c r="N165" s="227" t="str">
        <f t="shared" ref="N165" si="162">IF(OR(AND(H165="Muy Baja",L165="Leve"),AND(H165="Muy Baja",L165="Menor"),AND(H165="Baja",L165="Leve")),"Bajo",IF(OR(AND(H165="Muy baja",L165="Moderado"),AND(H165="Baja",L165="Menor"),AND(H165="Baja",L165="Moderado"),AND(H165="Media",L165="Leve"),AND(H165="Media",L165="Menor"),AND(H165="Media",L165="Moderado"),AND(H165="Alta",L165="Leve"),AND(H165="Alta",L165="Menor")),"Moderado",IF(OR(AND(H165="Muy Baja",L165="Mayor"),AND(H165="Baja",L165="Mayor"),AND(H165="Media",L165="Mayor"),AND(H165="Alta",L165="Moderado"),AND(H165="Alta",L165="Mayor"),AND(H165="Muy Alta",L165="Leve"),AND(H165="Muy Alta",L165="Menor"),AND(H165="Muy Alta",L165="Moderado"),AND(H165="Muy Alta",L165="Mayor")),"Alto",IF(OR(AND(H165="Muy Baja",L165="Catastrófico"),AND(H165="Baja",L165="Catastrófico"),AND(H165="Media",L165="Catastrófico"),AND(H165="Alta",L165="Catastrófico"),AND(H165="Muy Alta",L165="Catastrófico")),"Extremo",""))))</f>
        <v/>
      </c>
      <c r="O165" s="23">
        <v>1</v>
      </c>
      <c r="P165" s="24"/>
      <c r="Q165" s="24"/>
      <c r="R165" s="23" t="str">
        <f t="shared" si="152"/>
        <v/>
      </c>
      <c r="S165" s="12"/>
      <c r="T165" s="12"/>
      <c r="U165" s="25" t="str">
        <f>IF(AND(S165="Preventivo",T165="Automático"),"50%",IF(AND(S165="Preventivo",T165="Manual"),"40%",IF(AND(S165="Detectivo",T165="Automático"),"40%",IF(AND(S165="Detectivo",T165="Manual"),"30%",IF(AND(S165="Correctivo",T165="Automático"),"35%",IF(AND(S165="Correctivo",T165="Manual"),"25%",""))))))</f>
        <v/>
      </c>
      <c r="V165" s="12"/>
      <c r="W165" s="12"/>
      <c r="X165" s="12"/>
      <c r="Y165" s="26" t="str">
        <f t="shared" si="153"/>
        <v/>
      </c>
      <c r="Z165" s="19" t="str">
        <f>IFERROR(IF(Y165="","",IF(Y165&lt;=0.2,"Muy Baja",IF(Y165&lt;=0.4,"Baja",IF(Y165&lt;=0.6,"Media",IF(Y165&lt;=0.8,"Alta","Muy Alta"))))),"")</f>
        <v/>
      </c>
      <c r="AA165" s="25" t="str">
        <f>+Y165</f>
        <v/>
      </c>
      <c r="AB165" s="19" t="str">
        <f>IFERROR(IF(AC165="","",IF(AC165&lt;=0.2,"Leve",IF(AC165&lt;=0.4,"Menor",IF(AC165&lt;=0.6,"Moderado",IF(AC165&lt;=0.8,"Mayor","Catastrófico"))))),"")</f>
        <v/>
      </c>
      <c r="AC165" s="25" t="str">
        <f t="shared" si="154"/>
        <v/>
      </c>
      <c r="AD165" s="2" t="str">
        <f>IFERROR(IF(OR(AND(Z165="Muy Baja",AB165="Leve"),AND(Z165="Muy Baja",AB165="Menor"),AND(Z165="Baja",AB165="Leve")),"Bajo",IF(OR(AND(Z165="Muy baja",AB165="Moderado"),AND(Z165="Baja",AB165="Menor"),AND(Z165="Baja",AB165="Moderado"),AND(Z165="Media",AB165="Leve"),AND(Z165="Media",AB165="Menor"),AND(Z165="Media",AB165="Moderado"),AND(Z165="Alta",AB165="Leve"),AND(Z165="Alta",AB165="Menor")),"Moderado",IF(OR(AND(Z165="Muy Baja",AB165="Mayor"),AND(Z165="Baja",AB165="Mayor"),AND(Z165="Media",AB165="Mayor"),AND(Z165="Alta",AB165="Moderado"),AND(Z165="Alta",AB165="Mayor"),AND(Z165="Muy Alta",AB165="Leve"),AND(Z165="Muy Alta",AB165="Menor"),AND(Z165="Muy Alta",AB165="Moderado"),AND(Z165="Muy Alta",AB165="Mayor")),"Alto",IF(OR(AND(Z165="Muy Baja",AB165="Catastrófico"),AND(Z165="Baja",AB165="Catastrófico"),AND(Z165="Media",AB165="Catastrófico"),AND(Z165="Alta",AB165="Catastrófico"),AND(Z165="Muy Alta",AB165="Catastrófico")),"Extremo","")))),"")</f>
        <v/>
      </c>
      <c r="AE165" s="12"/>
      <c r="AF165" s="18"/>
      <c r="AG165" s="12"/>
      <c r="AH165" s="27"/>
      <c r="AI165" s="27"/>
      <c r="AJ165" s="18"/>
      <c r="AK165" s="12"/>
    </row>
    <row r="166" spans="1:37">
      <c r="A166" s="239"/>
      <c r="B166" s="232"/>
      <c r="C166" s="232"/>
      <c r="D166" s="232"/>
      <c r="E166" s="233"/>
      <c r="F166" s="232"/>
      <c r="G166" s="232"/>
      <c r="H166" s="226"/>
      <c r="I166" s="225"/>
      <c r="J166" s="224"/>
      <c r="K166" s="225">
        <f ca="1">IF(NOT(ISERROR(MATCH(J166,_xlfn.ANCHORARRAY(E168),0))),#REF!&amp;"Por favor no seleccionar los criterios de impacto",J166)</f>
        <v>0</v>
      </c>
      <c r="L166" s="226"/>
      <c r="M166" s="225"/>
      <c r="N166" s="227"/>
      <c r="O166" s="23">
        <v>2</v>
      </c>
      <c r="P166" s="24"/>
      <c r="Q166" s="24"/>
      <c r="R166" s="23" t="str">
        <f t="shared" si="152"/>
        <v/>
      </c>
      <c r="S166" s="12"/>
      <c r="T166" s="12"/>
      <c r="U166" s="25" t="str">
        <f t="shared" ref="U166" si="163">IF(AND(S166="Preventivo",T166="Automático"),"50%",IF(AND(S166="Preventivo",T166="Manual"),"40%",IF(AND(S166="Detectivo",T166="Automático"),"40%",IF(AND(S166="Detectivo",T166="Manual"),"30%",IF(AND(S166="Correctivo",T166="Automático"),"35%",IF(AND(S166="Correctivo",T166="Manual"),"25%",""))))))</f>
        <v/>
      </c>
      <c r="V166" s="12"/>
      <c r="W166" s="12"/>
      <c r="X166" s="12"/>
      <c r="Y166" s="26" t="str">
        <f t="shared" si="153"/>
        <v/>
      </c>
      <c r="Z166" s="19" t="str">
        <f t="shared" si="156"/>
        <v/>
      </c>
      <c r="AA166" s="25" t="str">
        <f t="shared" ref="AA166" si="164">+Y166</f>
        <v/>
      </c>
      <c r="AB166" s="19" t="str">
        <f t="shared" si="158"/>
        <v/>
      </c>
      <c r="AC166" s="25" t="str">
        <f t="shared" si="154"/>
        <v/>
      </c>
      <c r="AD166" s="2" t="str">
        <f t="shared" ref="AD166" si="165">IFERROR(IF(OR(AND(Z166="Muy Baja",AB166="Leve"),AND(Z166="Muy Baja",AB166="Menor"),AND(Z166="Baja",AB166="Leve")),"Bajo",IF(OR(AND(Z166="Muy baja",AB166="Moderado"),AND(Z166="Baja",AB166="Menor"),AND(Z166="Baja",AB166="Moderado"),AND(Z166="Media",AB166="Leve"),AND(Z166="Media",AB166="Menor"),AND(Z166="Media",AB166="Moderado"),AND(Z166="Alta",AB166="Leve"),AND(Z166="Alta",AB166="Menor")),"Moderado",IF(OR(AND(Z166="Muy Baja",AB166="Mayor"),AND(Z166="Baja",AB166="Mayor"),AND(Z166="Media",AB166="Mayor"),AND(Z166="Alta",AB166="Moderado"),AND(Z166="Alta",AB166="Mayor"),AND(Z166="Muy Alta",AB166="Leve"),AND(Z166="Muy Alta",AB166="Menor"),AND(Z166="Muy Alta",AB166="Moderado"),AND(Z166="Muy Alta",AB166="Mayor")),"Alto",IF(OR(AND(Z166="Muy Baja",AB166="Catastrófico"),AND(Z166="Baja",AB166="Catastrófico"),AND(Z166="Media",AB166="Catastrófico"),AND(Z166="Alta",AB166="Catastrófico"),AND(Z166="Muy Alta",AB166="Catastrófico")),"Extremo","")))),"")</f>
        <v/>
      </c>
      <c r="AE166" s="12"/>
      <c r="AF166" s="18"/>
      <c r="AG166" s="12"/>
      <c r="AH166" s="27"/>
      <c r="AI166" s="27"/>
      <c r="AJ166" s="18"/>
      <c r="AK166" s="12"/>
    </row>
    <row r="167" spans="1:37">
      <c r="A167" s="228" t="s">
        <v>97</v>
      </c>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30"/>
    </row>
    <row r="168" spans="1:37">
      <c r="A168" s="28"/>
      <c r="B168" s="29" t="s">
        <v>98</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ht="16.5">
      <c r="A169" s="3"/>
      <c r="B169" s="3"/>
      <c r="C169" s="3"/>
      <c r="D169" s="3"/>
      <c r="E169" s="5"/>
      <c r="F169" s="3"/>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6.5">
      <c r="A170" s="3"/>
      <c r="B170" s="3"/>
      <c r="C170" s="3"/>
      <c r="D170" s="3"/>
      <c r="E170" s="5"/>
      <c r="F170" s="3"/>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5" spans="1:37" ht="21">
      <c r="A175" s="348" t="s">
        <v>388</v>
      </c>
      <c r="B175" s="348"/>
      <c r="C175" s="348"/>
      <c r="D175" s="348"/>
      <c r="E175" s="348"/>
    </row>
    <row r="181" spans="1:37" ht="16.5">
      <c r="A181" s="231"/>
      <c r="B181" s="231"/>
      <c r="C181" s="231"/>
      <c r="D181" s="231"/>
      <c r="E181" s="227" t="s">
        <v>0</v>
      </c>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53" t="s">
        <v>1</v>
      </c>
      <c r="AI181" s="253"/>
      <c r="AJ181" s="253"/>
      <c r="AK181" s="253"/>
    </row>
    <row r="182" spans="1:37" ht="16.5">
      <c r="A182" s="231"/>
      <c r="B182" s="231"/>
      <c r="C182" s="231"/>
      <c r="D182" s="231"/>
      <c r="E182" s="227" t="s">
        <v>2</v>
      </c>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53" t="s">
        <v>3</v>
      </c>
      <c r="AI182" s="253"/>
      <c r="AJ182" s="253"/>
      <c r="AK182" s="253"/>
    </row>
    <row r="183" spans="1:37" ht="16.5">
      <c r="A183" s="231"/>
      <c r="B183" s="231"/>
      <c r="C183" s="231"/>
      <c r="D183" s="231"/>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53" t="s">
        <v>4</v>
      </c>
      <c r="AI183" s="253"/>
      <c r="AJ183" s="253"/>
      <c r="AK183" s="253"/>
    </row>
    <row r="184" spans="1:37" ht="16.5">
      <c r="A184" s="3"/>
      <c r="B184" s="4"/>
      <c r="C184" s="3"/>
      <c r="D184" s="3"/>
      <c r="E184" s="5"/>
      <c r="F184" s="3"/>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23.25">
      <c r="A185" s="254" t="s">
        <v>5</v>
      </c>
      <c r="B185" s="254"/>
      <c r="C185" s="255" t="s">
        <v>165</v>
      </c>
      <c r="D185" s="255"/>
      <c r="E185" s="255"/>
      <c r="F185" s="255"/>
      <c r="G185" s="255"/>
      <c r="H185" s="256" t="s">
        <v>7</v>
      </c>
      <c r="I185" s="256"/>
      <c r="J185" s="255" t="s">
        <v>204</v>
      </c>
      <c r="K185" s="255"/>
      <c r="L185" s="255"/>
      <c r="M185" s="255"/>
      <c r="N185" s="255"/>
      <c r="O185" s="256" t="s">
        <v>9</v>
      </c>
      <c r="P185" s="256"/>
      <c r="Q185" s="257" t="s">
        <v>205</v>
      </c>
      <c r="R185" s="258"/>
      <c r="S185" s="258"/>
      <c r="T185" s="258"/>
      <c r="U185" s="258"/>
      <c r="V185" s="258"/>
      <c r="W185" s="258"/>
      <c r="X185" s="258"/>
      <c r="Y185" s="258"/>
      <c r="Z185" s="258"/>
      <c r="AA185" s="258"/>
      <c r="AB185" s="258"/>
      <c r="AC185" s="258"/>
      <c r="AD185" s="258"/>
      <c r="AE185" s="259"/>
      <c r="AF185" s="152" t="s">
        <v>11</v>
      </c>
      <c r="AG185" s="260" t="s">
        <v>206</v>
      </c>
      <c r="AH185" s="260"/>
      <c r="AI185" s="260"/>
      <c r="AJ185" s="260"/>
      <c r="AK185" s="260"/>
    </row>
    <row r="186" spans="1:37">
      <c r="A186" s="245" t="s">
        <v>13</v>
      </c>
      <c r="B186" s="245"/>
      <c r="C186" s="245"/>
      <c r="D186" s="245"/>
      <c r="E186" s="245"/>
      <c r="F186" s="245"/>
      <c r="G186" s="245"/>
      <c r="H186" s="248" t="s">
        <v>14</v>
      </c>
      <c r="I186" s="248"/>
      <c r="J186" s="248"/>
      <c r="K186" s="248"/>
      <c r="L186" s="248"/>
      <c r="M186" s="248"/>
      <c r="N186" s="248"/>
      <c r="O186" s="261" t="s">
        <v>15</v>
      </c>
      <c r="P186" s="261"/>
      <c r="Q186" s="261"/>
      <c r="R186" s="261"/>
      <c r="S186" s="261"/>
      <c r="T186" s="261"/>
      <c r="U186" s="261"/>
      <c r="V186" s="261"/>
      <c r="W186" s="261"/>
      <c r="X186" s="261"/>
      <c r="Y186" s="262" t="s">
        <v>16</v>
      </c>
      <c r="Z186" s="262"/>
      <c r="AA186" s="262"/>
      <c r="AB186" s="262"/>
      <c r="AC186" s="262"/>
      <c r="AD186" s="262"/>
      <c r="AE186" s="262"/>
      <c r="AF186" s="243" t="s">
        <v>17</v>
      </c>
      <c r="AG186" s="243"/>
      <c r="AH186" s="243"/>
      <c r="AI186" s="243"/>
      <c r="AJ186" s="243"/>
      <c r="AK186" s="243"/>
    </row>
    <row r="187" spans="1:37">
      <c r="A187" s="244" t="s">
        <v>18</v>
      </c>
      <c r="B187" s="245" t="s">
        <v>19</v>
      </c>
      <c r="C187" s="246" t="s">
        <v>20</v>
      </c>
      <c r="D187" s="246" t="s">
        <v>21</v>
      </c>
      <c r="E187" s="245" t="s">
        <v>22</v>
      </c>
      <c r="F187" s="246" t="s">
        <v>23</v>
      </c>
      <c r="G187" s="246" t="s">
        <v>24</v>
      </c>
      <c r="H187" s="247" t="s">
        <v>25</v>
      </c>
      <c r="I187" s="248" t="s">
        <v>26</v>
      </c>
      <c r="J187" s="247" t="s">
        <v>27</v>
      </c>
      <c r="K187" s="247" t="s">
        <v>28</v>
      </c>
      <c r="L187" s="247" t="s">
        <v>29</v>
      </c>
      <c r="M187" s="248" t="s">
        <v>26</v>
      </c>
      <c r="N187" s="247" t="s">
        <v>30</v>
      </c>
      <c r="O187" s="249" t="s">
        <v>31</v>
      </c>
      <c r="P187" s="237" t="s">
        <v>32</v>
      </c>
      <c r="Q187" s="251" t="s">
        <v>33</v>
      </c>
      <c r="R187" s="237" t="s">
        <v>34</v>
      </c>
      <c r="S187" s="237" t="s">
        <v>35</v>
      </c>
      <c r="T187" s="237"/>
      <c r="U187" s="237"/>
      <c r="V187" s="237"/>
      <c r="W187" s="237"/>
      <c r="X187" s="237"/>
      <c r="Y187" s="236" t="s">
        <v>36</v>
      </c>
      <c r="Z187" s="236" t="s">
        <v>37</v>
      </c>
      <c r="AA187" s="236" t="s">
        <v>26</v>
      </c>
      <c r="AB187" s="236" t="s">
        <v>38</v>
      </c>
      <c r="AC187" s="236" t="s">
        <v>26</v>
      </c>
      <c r="AD187" s="236" t="s">
        <v>39</v>
      </c>
      <c r="AE187" s="236" t="s">
        <v>40</v>
      </c>
      <c r="AF187" s="250" t="s">
        <v>17</v>
      </c>
      <c r="AG187" s="250" t="s">
        <v>41</v>
      </c>
      <c r="AH187" s="250" t="s">
        <v>42</v>
      </c>
      <c r="AI187" s="250" t="s">
        <v>43</v>
      </c>
      <c r="AJ187" s="250" t="s">
        <v>44</v>
      </c>
      <c r="AK187" s="250" t="s">
        <v>45</v>
      </c>
    </row>
    <row r="188" spans="1:37" ht="81.75">
      <c r="A188" s="244"/>
      <c r="B188" s="245"/>
      <c r="C188" s="246"/>
      <c r="D188" s="246"/>
      <c r="E188" s="245"/>
      <c r="F188" s="246"/>
      <c r="G188" s="246"/>
      <c r="H188" s="247"/>
      <c r="I188" s="248"/>
      <c r="J188" s="247"/>
      <c r="K188" s="247"/>
      <c r="L188" s="248"/>
      <c r="M188" s="248"/>
      <c r="N188" s="247"/>
      <c r="O188" s="249"/>
      <c r="P188" s="237"/>
      <c r="Q188" s="252"/>
      <c r="R188" s="237"/>
      <c r="S188" s="7" t="s">
        <v>46</v>
      </c>
      <c r="T188" s="7" t="s">
        <v>47</v>
      </c>
      <c r="U188" s="7" t="s">
        <v>48</v>
      </c>
      <c r="V188" s="7" t="s">
        <v>49</v>
      </c>
      <c r="W188" s="7" t="s">
        <v>50</v>
      </c>
      <c r="X188" s="7" t="s">
        <v>51</v>
      </c>
      <c r="Y188" s="236"/>
      <c r="Z188" s="236"/>
      <c r="AA188" s="236"/>
      <c r="AB188" s="236"/>
      <c r="AC188" s="236"/>
      <c r="AD188" s="236"/>
      <c r="AE188" s="236"/>
      <c r="AF188" s="250"/>
      <c r="AG188" s="250"/>
      <c r="AH188" s="250"/>
      <c r="AI188" s="250"/>
      <c r="AJ188" s="250"/>
      <c r="AK188" s="250"/>
    </row>
    <row r="189" spans="1:37" ht="293.25">
      <c r="A189" s="238">
        <v>1</v>
      </c>
      <c r="B189" s="232" t="s">
        <v>140</v>
      </c>
      <c r="C189" s="240" t="s">
        <v>207</v>
      </c>
      <c r="D189" s="242" t="s">
        <v>208</v>
      </c>
      <c r="E189" s="242" t="s">
        <v>209</v>
      </c>
      <c r="F189" s="232" t="s">
        <v>56</v>
      </c>
      <c r="G189" s="232" t="s">
        <v>57</v>
      </c>
      <c r="H189" s="226" t="b">
        <f>IF(G189="","",IF('[9]Mapa final'!G168='[9]Tabla probabilidad'!$C$4,"MUY BAJA",IF('[9]Mapa final'!G168='[9]Tabla probabilidad'!$C$5,"BAJA",IF('[9]Mapa final'!G168='[9]Tabla probabilidad'!$C$6,"MEDIA",IF('[9]Mapa final'!G168='[9]Tabla probabilidad'!$C$7,"ALTA",IF('[9]Mapa final'!G168='[9]Tabla probabilidad'!$C$8,"MUY ALTA"))))))</f>
        <v>0</v>
      </c>
      <c r="I189" s="225">
        <f t="shared" ref="I189" si="166">IF(H189="","",IF(H189="Muy Baja",0.2,IF(H189="Baja",0.4,IF(H189="Media",0.6,IF(H189="Alta",0.8,IF(H189="Muy Alta",1,))))))</f>
        <v>0</v>
      </c>
      <c r="J189" s="224" t="s">
        <v>145</v>
      </c>
      <c r="K189" s="225" t="str">
        <f>IF(J189="","",IF(NOT(ISERROR(MATCH(J189,'[9]Tabla Impacto'!$B$37:$B$39,0))),'[9]Tabla Impacto'!$F$37&amp;"Por favor no seleccionar los criterios de impacto(Afectación Económica o presupuestal y Pérdida Reputacional)",J189))</f>
        <v xml:space="preserve">     Entre 100 y 500 SMLMV </v>
      </c>
      <c r="L189" s="226" t="str">
        <f>IF(OR(J189='[9]Tabla Impacto'!$F$25,J189='[9]Tabla Impacto'!$F$31),"Leve",IF(OR(J189='[9]Tabla Impacto'!$F$26,J189='[9]Tabla Impacto'!$F$32),"Menor",IF(OR(J189='[9]Tabla Impacto'!$F$27,J189='[9]Tabla Impacto'!$F$33,J189='[9]Tabla Impacto'!$F$37),"Moderado",IF(OR(J189='[9]Tabla Impacto'!$F$28,J189='[9]Tabla Impacto'!$F$34,J189='[9]Tabla Impacto'!$F$38),"Mayor",IF(OR(J189='[9]Tabla Impacto'!$F$29,J189='[9]Tabla Impacto'!$F$35,J189='[9]Tabla Impacto'!$F$39),"Catastrófico","")))))</f>
        <v>Mayor</v>
      </c>
      <c r="M189" s="225">
        <f t="shared" ref="M189" si="167">IF(L189="","",IF(L189="Leve",0.2,IF(L189="Menor",0.4,IF(L189="Moderado",0.6,IF(L189="Mayor",0.8,IF(L189="Catastrófico",1,))))))</f>
        <v>0.8</v>
      </c>
      <c r="N189" s="234" t="str">
        <f>IF(OR(AND(H189="Muy Baja",L189="Leve"),AND(H189="Muy Baja",L189="Menor"),AND(H189="Baja",L189="Leve")),"Bajo",IF(OR(AND(H189="Muy baja",L189="Moderado"),AND(H189="Baja",L189="Menor"),AND(H189="Baja",L189="Moderado"),AND(H189="Media",L189="Leve"),AND(H189="Media",L189="Menor"),AND(H189="Media",L189="Moderado"),AND(H189="Alta",L189="Leve"),AND(H189="Alta",L189="Menor")),"Moderado",IF(OR(AND(H189="Muy Baja",L189="Mayor"),AND(H189="Baja",L189="Mayor"),AND(H189="Media",L189="Mayor"),AND(H189="Alta",L189="Moderado"),AND(H189="Alta",L189="Mayor"),AND(H189="Muy Alta",L189="Leve"),AND(H189="Muy Alta",L189="Menor"),AND(H189="Muy Alta",L189="Moderado"),AND(H189="Muy Alta",L189="Mayor")),"Alto",IF(OR(AND(H189="Muy Baja",L189="Catastrófico"),AND(H189="Baja",L189="Catastrófico"),AND(H189="Media",L189="Catastrófico"),AND(H189="Alta",L189="Catastrófico"),AND(H189="Muy Alta",L189="Catastrófico")),"Extremo",""))))</f>
        <v/>
      </c>
      <c r="O189" s="55">
        <v>1</v>
      </c>
      <c r="P189" s="72" t="s">
        <v>210</v>
      </c>
      <c r="Q189" s="56" t="s">
        <v>175</v>
      </c>
      <c r="R189" s="55" t="str">
        <f t="shared" ref="R189:R192" si="168">IF(OR(S189="Preventivo",S189="Detectivo"),"Probabilidad",IF(S189="Correctivo","Impacto",""))</f>
        <v>Probabilidad</v>
      </c>
      <c r="S189" s="12" t="s">
        <v>61</v>
      </c>
      <c r="T189" s="12" t="s">
        <v>62</v>
      </c>
      <c r="U189" s="58" t="str">
        <f t="shared" ref="U189:U190" si="169">IF(AND(S189="Preventivo",T189="Automático"),"50%",IF(AND(S189="Preventivo",T189="Manual"),"40%",IF(AND(S189="Detectivo",T189="Automático"),"40%",IF(AND(S189="Detectivo",T189="Manual"),"30%",IF(AND(S189="Correctivo",T189="Automático"),"35%",IF(AND(S189="Correctivo",T189="Manual"),"25%",""))))))</f>
        <v>40%</v>
      </c>
      <c r="V189" s="12" t="s">
        <v>70</v>
      </c>
      <c r="W189" s="12" t="s">
        <v>64</v>
      </c>
      <c r="X189" s="12" t="s">
        <v>65</v>
      </c>
      <c r="Y189" s="59">
        <f>IFERROR(IF(R189="Probabilidad",(I189-(+I189*U189)),IF(R189="Impacto",I189,"")),"")</f>
        <v>0</v>
      </c>
      <c r="Z189" s="60" t="str">
        <f t="shared" ref="Z189:Z190" si="170">IFERROR(IF(Y189="","",IF(Y189&lt;=0.2,"Muy Baja",IF(Y189&lt;=0.4,"Baja",IF(Y189&lt;=0.6,"Media",IF(Y189&lt;=0.8,"Alta","Muy Alta"))))),"")</f>
        <v>Muy Baja</v>
      </c>
      <c r="AA189" s="58">
        <f t="shared" ref="AA189:AA190" si="171">+Y189</f>
        <v>0</v>
      </c>
      <c r="AB189" s="60" t="str">
        <f t="shared" ref="AB189:AB190" si="172">IFERROR(IF(AC189="","",IF(AC189&lt;=0.2,"Leve",IF(AC189&lt;=0.4,"Menor",IF(AC189&lt;=0.6,"Moderado",IF(AC189&lt;=0.8,"Mayor","Catastrófico"))))),"")</f>
        <v>Mayor</v>
      </c>
      <c r="AC189" s="58">
        <f>IFERROR(IF(R189="Impacto",(M189-(+M189*U189)),IF(R189="Probabilidad",M189,"")),"")</f>
        <v>0.8</v>
      </c>
      <c r="AD189" s="61" t="str">
        <f t="shared" ref="AD189:AD190" si="173">IFERROR(IF(OR(AND(Z189="Muy Baja",AB189="Leve"),AND(Z189="Muy Baja",AB189="Menor"),AND(Z189="Baja",AB189="Leve")),"Bajo",IF(OR(AND(Z189="Muy baja",AB189="Moderado"),AND(Z189="Baja",AB189="Menor"),AND(Z189="Baja",AB189="Moderado"),AND(Z189="Media",AB189="Leve"),AND(Z189="Media",AB189="Menor"),AND(Z189="Media",AB189="Moderado"),AND(Z189="Alta",AB189="Leve"),AND(Z189="Alta",AB189="Menor")),"Moderado",IF(OR(AND(Z189="Muy Baja",AB189="Mayor"),AND(Z189="Baja",AB189="Mayor"),AND(Z189="Media",AB189="Mayor"),AND(Z189="Alta",AB189="Moderado"),AND(Z189="Alta",AB189="Mayor"),AND(Z189="Muy Alta",AB189="Leve"),AND(Z189="Muy Alta",AB189="Menor"),AND(Z189="Muy Alta",AB189="Moderado"),AND(Z189="Muy Alta",AB189="Mayor")),"Alto",IF(OR(AND(Z189="Muy Baja",AB189="Catastrófico"),AND(Z189="Baja",AB189="Catastrófico"),AND(Z189="Media",AB189="Catastrófico"),AND(Z189="Alta",AB189="Catastrófico"),AND(Z189="Muy Alta",AB189="Catastrófico")),"Extremo","")))),"")</f>
        <v>Alto</v>
      </c>
      <c r="AE189" s="12" t="s">
        <v>66</v>
      </c>
      <c r="AF189" s="63"/>
      <c r="AG189" s="63"/>
      <c r="AH189" s="64"/>
      <c r="AI189" s="64"/>
      <c r="AJ189" s="63"/>
      <c r="AK189" s="12"/>
    </row>
    <row r="190" spans="1:37" ht="293.25">
      <c r="A190" s="239"/>
      <c r="B190" s="232"/>
      <c r="C190" s="241"/>
      <c r="D190" s="241"/>
      <c r="E190" s="241"/>
      <c r="F190" s="232"/>
      <c r="G190" s="232"/>
      <c r="H190" s="226"/>
      <c r="I190" s="225"/>
      <c r="J190" s="224"/>
      <c r="K190" s="225">
        <f ca="1">IF(NOT(ISERROR(MATCH(J190,_xlfn.ANCHORARRAY(#REF!),0))),#REF!&amp;"Por favor no seleccionar los criterios de impacto",J190)</f>
        <v>0</v>
      </c>
      <c r="L190" s="226"/>
      <c r="M190" s="225"/>
      <c r="N190" s="235"/>
      <c r="O190" s="55">
        <v>2</v>
      </c>
      <c r="P190" s="73" t="s">
        <v>211</v>
      </c>
      <c r="Q190" s="74" t="s">
        <v>212</v>
      </c>
      <c r="R190" s="55" t="str">
        <f t="shared" si="168"/>
        <v>Probabilidad</v>
      </c>
      <c r="S190" s="12" t="s">
        <v>69</v>
      </c>
      <c r="T190" s="12" t="s">
        <v>62</v>
      </c>
      <c r="U190" s="58" t="str">
        <f t="shared" si="169"/>
        <v>30%</v>
      </c>
      <c r="V190" s="12" t="s">
        <v>70</v>
      </c>
      <c r="W190" s="12" t="s">
        <v>64</v>
      </c>
      <c r="X190" s="12" t="s">
        <v>65</v>
      </c>
      <c r="Y190" s="59">
        <f>IFERROR(IF(AND(R189="Probabilidad",R190="Probabilidad"),(AA189-(+AA189*U190)),IF(R190="Probabilidad",(I189-(+I189*U190)),IF(R190="Impacto",AA189,""))),"")</f>
        <v>0</v>
      </c>
      <c r="Z190" s="60" t="str">
        <f t="shared" si="170"/>
        <v>Muy Baja</v>
      </c>
      <c r="AA190" s="58">
        <f t="shared" si="171"/>
        <v>0</v>
      </c>
      <c r="AB190" s="60" t="str">
        <f t="shared" si="172"/>
        <v>Mayor</v>
      </c>
      <c r="AC190" s="58">
        <f>IFERROR(IF(AND(R189="Impacto",R190="Impacto"),(AC189-(+AC189*U190)),IF(R190="Impacto",($M$16-(+$M$16*U190)),IF(R190="Probabilidad",AC189,""))),"")</f>
        <v>0.8</v>
      </c>
      <c r="AD190" s="61" t="str">
        <f t="shared" si="173"/>
        <v>Alto</v>
      </c>
      <c r="AE190" s="12" t="s">
        <v>66</v>
      </c>
      <c r="AF190" s="63"/>
      <c r="AG190" s="63"/>
      <c r="AH190" s="64"/>
      <c r="AI190" s="64"/>
      <c r="AJ190" s="63"/>
      <c r="AK190" s="12"/>
    </row>
    <row r="191" spans="1:37">
      <c r="A191" s="231">
        <v>10</v>
      </c>
      <c r="B191" s="232"/>
      <c r="C191" s="232"/>
      <c r="D191" s="232"/>
      <c r="E191" s="233"/>
      <c r="F191" s="232"/>
      <c r="G191" s="232"/>
      <c r="H191" s="226" t="str">
        <f>IF(G191="","",IF('[9]Mapa final'!G170='[9]Tabla probabilidad'!$C$4,"MUY BAJA",IF('[9]Mapa final'!G170='[9]Tabla probabilidad'!$C$5,"BAJA",IF('[9]Mapa final'!G170='[9]Tabla probabilidad'!$C$6,"MEDIA",IF('[9]Mapa final'!G170='[9]Tabla probabilidad'!$C$7,"ALTA",IF('[9]Mapa final'!G170='[9]Tabla probabilidad'!$C$8,"MUY ALTA"))))))</f>
        <v/>
      </c>
      <c r="I191" s="225" t="str">
        <f t="shared" ref="I191" si="174">IF(H191="","",IF(H191="Muy Baja",0.2,IF(H191="Baja",0.4,IF(H191="Media",0.6,IF(H191="Alta",0.8,IF(H191="Muy Alta",1,))))))</f>
        <v/>
      </c>
      <c r="J191" s="224"/>
      <c r="K191" s="225" t="str">
        <f>IF(J191="","",IF(NOT(ISERROR(MATCH(J191,'[9]Tabla Impacto'!$B$37:$B$39,0))),'[9]Tabla Impacto'!$F$37&amp;"Por favor no seleccionar los criterios de impacto(Afectación Económica o presupuestal y Pérdida Reputacional)",J191))</f>
        <v/>
      </c>
      <c r="L191" s="226"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
      </c>
      <c r="M191" s="225" t="str">
        <f t="shared" ref="M191" si="175">IF(L191="","",IF(L191="Leve",0.2,IF(L191="Menor",0.4,IF(L191="Moderado",0.6,IF(L191="Mayor",0.8,IF(L191="Catastrófico",1,))))))</f>
        <v/>
      </c>
      <c r="N191" s="227" t="str">
        <f t="shared" ref="N191" si="176">IF(OR(AND(H191="Muy Baja",L191="Leve"),AND(H191="Muy Baja",L191="Menor"),AND(H191="Baja",L191="Leve")),"Bajo",IF(OR(AND(H191="Muy baja",L191="Moderado"),AND(H191="Baja",L191="Menor"),AND(H191="Baja",L191="Moderado"),AND(H191="Media",L191="Leve"),AND(H191="Media",L191="Menor"),AND(H191="Media",L191="Moderado"),AND(H191="Alta",L191="Leve"),AND(H191="Alta",L191="Menor")),"Moderado",IF(OR(AND(H191="Muy Baja",L191="Mayor"),AND(H191="Baja",L191="Mayor"),AND(H191="Media",L191="Mayor"),AND(H191="Alta",L191="Moderado"),AND(H191="Alta",L191="Mayor"),AND(H191="Muy Alta",L191="Leve"),AND(H191="Muy Alta",L191="Menor"),AND(H191="Muy Alta",L191="Moderado"),AND(H191="Muy Alta",L191="Mayor")),"Alto",IF(OR(AND(H191="Muy Baja",L191="Catastrófico"),AND(H191="Baja",L191="Catastrófico"),AND(H191="Media",L191="Catastrófico"),AND(H191="Alta",L191="Catastrófico"),AND(H191="Muy Alta",L191="Catastrófico")),"Extremo",""))))</f>
        <v/>
      </c>
      <c r="O191" s="23">
        <v>1</v>
      </c>
      <c r="P191" s="24"/>
      <c r="Q191" s="24"/>
      <c r="R191" s="23" t="str">
        <f t="shared" si="168"/>
        <v/>
      </c>
      <c r="S191" s="12"/>
      <c r="T191" s="12"/>
      <c r="U191" s="25" t="str">
        <f>IF(AND(S191="Preventivo",T191="Automático"),"50%",IF(AND(S191="Preventivo",T191="Manual"),"40%",IF(AND(S191="Detectivo",T191="Automático"),"40%",IF(AND(S191="Detectivo",T191="Manual"),"30%",IF(AND(S191="Correctivo",T191="Automático"),"35%",IF(AND(S191="Correctivo",T191="Manual"),"25%",""))))))</f>
        <v/>
      </c>
      <c r="V191" s="12"/>
      <c r="W191" s="12"/>
      <c r="X191" s="12"/>
      <c r="Y191" s="26" t="str">
        <f t="shared" ref="Y191:Y192" si="177">IFERROR(IF(R191="Probabilidad",(I191-(+I191*U191)),IF(R191="Impacto",I191,"")),"")</f>
        <v/>
      </c>
      <c r="Z191" s="19" t="str">
        <f>IFERROR(IF(Y191="","",IF(Y191&lt;=0.2,"Muy Baja",IF(Y191&lt;=0.4,"Baja",IF(Y191&lt;=0.6,"Media",IF(Y191&lt;=0.8,"Alta","Muy Alta"))))),"")</f>
        <v/>
      </c>
      <c r="AA191" s="25" t="str">
        <f>+Y191</f>
        <v/>
      </c>
      <c r="AB191" s="19" t="str">
        <f>IFERROR(IF(AC191="","",IF(AC191&lt;=0.2,"Leve",IF(AC191&lt;=0.4,"Menor",IF(AC191&lt;=0.6,"Moderado",IF(AC191&lt;=0.8,"Mayor","Catastrófico"))))),"")</f>
        <v/>
      </c>
      <c r="AC191" s="25" t="str">
        <f t="shared" ref="AC191:AC192" si="178">IFERROR(IF(R191="Impacto",(M191-(+M191*U191)),IF(R191="Probabilidad",M191,"")),"")</f>
        <v/>
      </c>
      <c r="AD191" s="2" t="str">
        <f>IFERROR(IF(OR(AND(Z191="Muy Baja",AB191="Leve"),AND(Z191="Muy Baja",AB191="Menor"),AND(Z191="Baja",AB191="Leve")),"Bajo",IF(OR(AND(Z191="Muy baja",AB191="Moderado"),AND(Z191="Baja",AB191="Menor"),AND(Z191="Baja",AB191="Moderado"),AND(Z191="Media",AB191="Leve"),AND(Z191="Media",AB191="Menor"),AND(Z191="Media",AB191="Moderado"),AND(Z191="Alta",AB191="Leve"),AND(Z191="Alta",AB191="Menor")),"Moderado",IF(OR(AND(Z191="Muy Baja",AB191="Mayor"),AND(Z191="Baja",AB191="Mayor"),AND(Z191="Media",AB191="Mayor"),AND(Z191="Alta",AB191="Moderado"),AND(Z191="Alta",AB191="Mayor"),AND(Z191="Muy Alta",AB191="Leve"),AND(Z191="Muy Alta",AB191="Menor"),AND(Z191="Muy Alta",AB191="Moderado"),AND(Z191="Muy Alta",AB191="Mayor")),"Alto",IF(OR(AND(Z191="Muy Baja",AB191="Catastrófico"),AND(Z191="Baja",AB191="Catastrófico"),AND(Z191="Media",AB191="Catastrófico"),AND(Z191="Alta",AB191="Catastrófico"),AND(Z191="Muy Alta",AB191="Catastrófico")),"Extremo","")))),"")</f>
        <v/>
      </c>
      <c r="AE191" s="12"/>
      <c r="AF191" s="18"/>
      <c r="AG191" s="12"/>
      <c r="AH191" s="27"/>
      <c r="AI191" s="27"/>
      <c r="AJ191" s="18"/>
      <c r="AK191" s="12"/>
    </row>
    <row r="192" spans="1:37">
      <c r="A192" s="231"/>
      <c r="B192" s="232"/>
      <c r="C192" s="232"/>
      <c r="D192" s="232"/>
      <c r="E192" s="233"/>
      <c r="F192" s="232"/>
      <c r="G192" s="232"/>
      <c r="H192" s="226"/>
      <c r="I192" s="225"/>
      <c r="J192" s="224"/>
      <c r="K192" s="225">
        <f ca="1">IF(NOT(ISERROR(MATCH(J192,_xlfn.ANCHORARRAY(E194),0))),#REF!&amp;"Por favor no seleccionar los criterios de impacto",J192)</f>
        <v>0</v>
      </c>
      <c r="L192" s="226"/>
      <c r="M192" s="225"/>
      <c r="N192" s="227"/>
      <c r="O192" s="23">
        <v>2</v>
      </c>
      <c r="P192" s="24"/>
      <c r="Q192" s="24"/>
      <c r="R192" s="23" t="str">
        <f t="shared" si="168"/>
        <v/>
      </c>
      <c r="S192" s="12"/>
      <c r="T192" s="12"/>
      <c r="U192" s="25" t="str">
        <f t="shared" ref="U192" si="179">IF(AND(S192="Preventivo",T192="Automático"),"50%",IF(AND(S192="Preventivo",T192="Manual"),"40%",IF(AND(S192="Detectivo",T192="Automático"),"40%",IF(AND(S192="Detectivo",T192="Manual"),"30%",IF(AND(S192="Correctivo",T192="Automático"),"35%",IF(AND(S192="Correctivo",T192="Manual"),"25%",""))))))</f>
        <v/>
      </c>
      <c r="V192" s="12"/>
      <c r="W192" s="12"/>
      <c r="X192" s="12"/>
      <c r="Y192" s="26" t="str">
        <f t="shared" si="177"/>
        <v/>
      </c>
      <c r="Z192" s="19" t="str">
        <f t="shared" ref="Z192" si="180">IFERROR(IF(Y192="","",IF(Y192&lt;=0.2,"Muy Baja",IF(Y192&lt;=0.4,"Baja",IF(Y192&lt;=0.6,"Media",IF(Y192&lt;=0.8,"Alta","Muy Alta"))))),"")</f>
        <v/>
      </c>
      <c r="AA192" s="25" t="str">
        <f t="shared" ref="AA192" si="181">+Y192</f>
        <v/>
      </c>
      <c r="AB192" s="19" t="str">
        <f t="shared" ref="AB192" si="182">IFERROR(IF(AC192="","",IF(AC192&lt;=0.2,"Leve",IF(AC192&lt;=0.4,"Menor",IF(AC192&lt;=0.6,"Moderado",IF(AC192&lt;=0.8,"Mayor","Catastrófico"))))),"")</f>
        <v/>
      </c>
      <c r="AC192" s="25" t="str">
        <f t="shared" si="178"/>
        <v/>
      </c>
      <c r="AD192" s="2" t="str">
        <f t="shared" ref="AD192" si="183">IFERROR(IF(OR(AND(Z192="Muy Baja",AB192="Leve"),AND(Z192="Muy Baja",AB192="Menor"),AND(Z192="Baja",AB192="Leve")),"Bajo",IF(OR(AND(Z192="Muy baja",AB192="Moderado"),AND(Z192="Baja",AB192="Menor"),AND(Z192="Baja",AB192="Moderado"),AND(Z192="Media",AB192="Leve"),AND(Z192="Media",AB192="Menor"),AND(Z192="Media",AB192="Moderado"),AND(Z192="Alta",AB192="Leve"),AND(Z192="Alta",AB192="Menor")),"Moderado",IF(OR(AND(Z192="Muy Baja",AB192="Mayor"),AND(Z192="Baja",AB192="Mayor"),AND(Z192="Media",AB192="Mayor"),AND(Z192="Alta",AB192="Moderado"),AND(Z192="Alta",AB192="Mayor"),AND(Z192="Muy Alta",AB192="Leve"),AND(Z192="Muy Alta",AB192="Menor"),AND(Z192="Muy Alta",AB192="Moderado"),AND(Z192="Muy Alta",AB192="Mayor")),"Alto",IF(OR(AND(Z192="Muy Baja",AB192="Catastrófico"),AND(Z192="Baja",AB192="Catastrófico"),AND(Z192="Media",AB192="Catastrófico"),AND(Z192="Alta",AB192="Catastrófico"),AND(Z192="Muy Alta",AB192="Catastrófico")),"Extremo","")))),"")</f>
        <v/>
      </c>
      <c r="AE192" s="12"/>
      <c r="AF192" s="18"/>
      <c r="AG192" s="12"/>
      <c r="AH192" s="27"/>
      <c r="AI192" s="27"/>
      <c r="AJ192" s="18"/>
      <c r="AK192" s="12"/>
    </row>
    <row r="193" spans="1:37">
      <c r="A193" s="228" t="s">
        <v>97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30"/>
    </row>
    <row r="194" spans="1:37">
      <c r="A194" s="28"/>
      <c r="B194" s="29" t="s">
        <v>98</v>
      </c>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sheetData>
  <mergeCells count="792">
    <mergeCell ref="A4:C4"/>
    <mergeCell ref="A63:F63"/>
    <mergeCell ref="A91:D91"/>
    <mergeCell ref="A119:D119"/>
    <mergeCell ref="A145:D145"/>
    <mergeCell ref="A175:E175"/>
    <mergeCell ref="A26:AK26"/>
    <mergeCell ref="I24:I25"/>
    <mergeCell ref="J24:J25"/>
    <mergeCell ref="K24:K25"/>
    <mergeCell ref="L24:L25"/>
    <mergeCell ref="M24:M25"/>
    <mergeCell ref="N24:N25"/>
    <mergeCell ref="AI22:AI23"/>
    <mergeCell ref="AJ22:AJ23"/>
    <mergeCell ref="A24:A25"/>
    <mergeCell ref="B24:B25"/>
    <mergeCell ref="C24:C25"/>
    <mergeCell ref="D24:D25"/>
    <mergeCell ref="E24:E25"/>
    <mergeCell ref="F24:F25"/>
    <mergeCell ref="G24:G25"/>
    <mergeCell ref="H24:H25"/>
    <mergeCell ref="L22:L23"/>
    <mergeCell ref="N22:N23"/>
    <mergeCell ref="AF22:AF23"/>
    <mergeCell ref="AG22:AG23"/>
    <mergeCell ref="AH22:AH23"/>
    <mergeCell ref="F22:F23"/>
    <mergeCell ref="AJ20:AJ21"/>
    <mergeCell ref="A22:A23"/>
    <mergeCell ref="B22:B23"/>
    <mergeCell ref="C22:C23"/>
    <mergeCell ref="D22:D23"/>
    <mergeCell ref="E22:E23"/>
    <mergeCell ref="I20:I21"/>
    <mergeCell ref="J20:J21"/>
    <mergeCell ref="K20:K21"/>
    <mergeCell ref="L20:L21"/>
    <mergeCell ref="M20:M21"/>
    <mergeCell ref="N20:N21"/>
    <mergeCell ref="G22:G23"/>
    <mergeCell ref="H22:H23"/>
    <mergeCell ref="I22:I23"/>
    <mergeCell ref="J22:J23"/>
    <mergeCell ref="K22:K23"/>
    <mergeCell ref="AF20:AF21"/>
    <mergeCell ref="A20:A21"/>
    <mergeCell ref="B20:B21"/>
    <mergeCell ref="C20:C21"/>
    <mergeCell ref="D20:D21"/>
    <mergeCell ref="E20:E21"/>
    <mergeCell ref="F20:F21"/>
    <mergeCell ref="G20:G21"/>
    <mergeCell ref="H20:H21"/>
    <mergeCell ref="M22:M23"/>
    <mergeCell ref="H18:H19"/>
    <mergeCell ref="I18:I19"/>
    <mergeCell ref="J18:J19"/>
    <mergeCell ref="K18:K19"/>
    <mergeCell ref="AF16:AF17"/>
    <mergeCell ref="AG16:AG17"/>
    <mergeCell ref="AG20:AG21"/>
    <mergeCell ref="AH20:AH21"/>
    <mergeCell ref="AI20:AI21"/>
    <mergeCell ref="AH16:AH17"/>
    <mergeCell ref="AI16:AI17"/>
    <mergeCell ref="AJ16:AJ17"/>
    <mergeCell ref="A18:A19"/>
    <mergeCell ref="B18:B19"/>
    <mergeCell ref="C18:C19"/>
    <mergeCell ref="D18:D19"/>
    <mergeCell ref="E18:E19"/>
    <mergeCell ref="I16:I17"/>
    <mergeCell ref="J16:J17"/>
    <mergeCell ref="K16:K17"/>
    <mergeCell ref="L16:L17"/>
    <mergeCell ref="M16:M17"/>
    <mergeCell ref="N16:N17"/>
    <mergeCell ref="AI18:AI19"/>
    <mergeCell ref="AJ18:AJ19"/>
    <mergeCell ref="M18:M19"/>
    <mergeCell ref="N18:N19"/>
    <mergeCell ref="AF18:AF19"/>
    <mergeCell ref="AG18:AG19"/>
    <mergeCell ref="AH18:AH19"/>
    <mergeCell ref="L18:L19"/>
    <mergeCell ref="F18:F19"/>
    <mergeCell ref="G18:G19"/>
    <mergeCell ref="AJ14:AJ15"/>
    <mergeCell ref="AK14:AK15"/>
    <mergeCell ref="A16:A17"/>
    <mergeCell ref="B16:B17"/>
    <mergeCell ref="C16:C17"/>
    <mergeCell ref="D16:D17"/>
    <mergeCell ref="E16:E17"/>
    <mergeCell ref="F16:F17"/>
    <mergeCell ref="G16:G17"/>
    <mergeCell ref="H16:H17"/>
    <mergeCell ref="AD14:AD15"/>
    <mergeCell ref="AE14:AE15"/>
    <mergeCell ref="AF14:AF15"/>
    <mergeCell ref="AG14:AG15"/>
    <mergeCell ref="AH14:AH15"/>
    <mergeCell ref="AI14:AI15"/>
    <mergeCell ref="S14:X14"/>
    <mergeCell ref="Y14:Y15"/>
    <mergeCell ref="Z14:Z15"/>
    <mergeCell ref="AA14:AA15"/>
    <mergeCell ref="AB14:AB15"/>
    <mergeCell ref="AC14:AC15"/>
    <mergeCell ref="M14:M15"/>
    <mergeCell ref="N14:N15"/>
    <mergeCell ref="A12:B12"/>
    <mergeCell ref="C12:G12"/>
    <mergeCell ref="H12:I12"/>
    <mergeCell ref="J12:N12"/>
    <mergeCell ref="O12:P12"/>
    <mergeCell ref="Q12:AE12"/>
    <mergeCell ref="O14:O15"/>
    <mergeCell ref="P14:P15"/>
    <mergeCell ref="Q14:Q15"/>
    <mergeCell ref="R14:R15"/>
    <mergeCell ref="G14:G15"/>
    <mergeCell ref="H14:H15"/>
    <mergeCell ref="I14:I15"/>
    <mergeCell ref="J14:J15"/>
    <mergeCell ref="K14:K15"/>
    <mergeCell ref="L14:L15"/>
    <mergeCell ref="A8:D10"/>
    <mergeCell ref="E8:AG8"/>
    <mergeCell ref="AH8:AK8"/>
    <mergeCell ref="E9:AG10"/>
    <mergeCell ref="AH9:AK9"/>
    <mergeCell ref="AH10:AK10"/>
    <mergeCell ref="A36:D38"/>
    <mergeCell ref="E36:AG36"/>
    <mergeCell ref="AH36:AK36"/>
    <mergeCell ref="E37:AG38"/>
    <mergeCell ref="AH37:AK37"/>
    <mergeCell ref="AH38:AK38"/>
    <mergeCell ref="A14:A15"/>
    <mergeCell ref="B14:B15"/>
    <mergeCell ref="C14:C15"/>
    <mergeCell ref="D14:D15"/>
    <mergeCell ref="E14:E15"/>
    <mergeCell ref="F14:F15"/>
    <mergeCell ref="AG12:AK12"/>
    <mergeCell ref="A13:G13"/>
    <mergeCell ref="H13:N13"/>
    <mergeCell ref="O13:X13"/>
    <mergeCell ref="Y13:AE13"/>
    <mergeCell ref="AF13:AK13"/>
    <mergeCell ref="A40:B40"/>
    <mergeCell ref="C40:G40"/>
    <mergeCell ref="H40:I40"/>
    <mergeCell ref="J40:N40"/>
    <mergeCell ref="O40:P40"/>
    <mergeCell ref="Q40:AE40"/>
    <mergeCell ref="AG40:AK40"/>
    <mergeCell ref="A41:G41"/>
    <mergeCell ref="H41:N41"/>
    <mergeCell ref="O41:X41"/>
    <mergeCell ref="Y41:AE41"/>
    <mergeCell ref="AF41:AK4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X42"/>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AF44:AF45"/>
    <mergeCell ref="AG44:AG45"/>
    <mergeCell ref="AH44:AH45"/>
    <mergeCell ref="AI44:AI45"/>
    <mergeCell ref="AJ44:AJ45"/>
    <mergeCell ref="N46:N47"/>
    <mergeCell ref="AF46:AF47"/>
    <mergeCell ref="AG46:AG47"/>
    <mergeCell ref="AH46:AH47"/>
    <mergeCell ref="AI46:AI47"/>
    <mergeCell ref="A46:A47"/>
    <mergeCell ref="B46:B47"/>
    <mergeCell ref="C46:C47"/>
    <mergeCell ref="D46:D47"/>
    <mergeCell ref="E46:E47"/>
    <mergeCell ref="F46:F47"/>
    <mergeCell ref="G46:G47"/>
    <mergeCell ref="H46:H47"/>
    <mergeCell ref="I46:I47"/>
    <mergeCell ref="AJ46:AJ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AF48:AF49"/>
    <mergeCell ref="AG48:AG49"/>
    <mergeCell ref="AH48:AH49"/>
    <mergeCell ref="AI48:AI49"/>
    <mergeCell ref="AJ48:AJ49"/>
    <mergeCell ref="J46:J47"/>
    <mergeCell ref="K46:K47"/>
    <mergeCell ref="L46:L47"/>
    <mergeCell ref="M46:M47"/>
    <mergeCell ref="AG50:AG51"/>
    <mergeCell ref="AH50:AH51"/>
    <mergeCell ref="AI50:AI51"/>
    <mergeCell ref="A50:A51"/>
    <mergeCell ref="B50:B51"/>
    <mergeCell ref="C50:C51"/>
    <mergeCell ref="D50:D51"/>
    <mergeCell ref="E50:E51"/>
    <mergeCell ref="F50:F51"/>
    <mergeCell ref="G50:G51"/>
    <mergeCell ref="H50:H51"/>
    <mergeCell ref="I50:I51"/>
    <mergeCell ref="A54:AK54"/>
    <mergeCell ref="AH69:AK69"/>
    <mergeCell ref="AH70:AK70"/>
    <mergeCell ref="AJ50:AJ51"/>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J50:J51"/>
    <mergeCell ref="K50:K51"/>
    <mergeCell ref="L50:L51"/>
    <mergeCell ref="M50:M51"/>
    <mergeCell ref="N50:N51"/>
    <mergeCell ref="AF50:AF51"/>
    <mergeCell ref="C74:C75"/>
    <mergeCell ref="AA74:AA75"/>
    <mergeCell ref="AB74:AB75"/>
    <mergeCell ref="AC74:AC75"/>
    <mergeCell ref="AD74:AD75"/>
    <mergeCell ref="AE74:AE75"/>
    <mergeCell ref="AF74:AF75"/>
    <mergeCell ref="AG74:AG75"/>
    <mergeCell ref="N74:N75"/>
    <mergeCell ref="O74:O75"/>
    <mergeCell ref="P74:P75"/>
    <mergeCell ref="Q74:Q75"/>
    <mergeCell ref="R74:R75"/>
    <mergeCell ref="S74:X74"/>
    <mergeCell ref="Y74:Y75"/>
    <mergeCell ref="Z74:Z75"/>
    <mergeCell ref="D74:D75"/>
    <mergeCell ref="E74:E75"/>
    <mergeCell ref="F74:F75"/>
    <mergeCell ref="G74:G75"/>
    <mergeCell ref="H74:H75"/>
    <mergeCell ref="I74:I75"/>
    <mergeCell ref="J74:J75"/>
    <mergeCell ref="K74:K75"/>
    <mergeCell ref="A73:G73"/>
    <mergeCell ref="H73:N73"/>
    <mergeCell ref="O73:X73"/>
    <mergeCell ref="Y73:AE73"/>
    <mergeCell ref="AF73:AK73"/>
    <mergeCell ref="A74:A75"/>
    <mergeCell ref="B74:B75"/>
    <mergeCell ref="A82:A83"/>
    <mergeCell ref="B82:B83"/>
    <mergeCell ref="C82:C83"/>
    <mergeCell ref="D82:D83"/>
    <mergeCell ref="E82:E83"/>
    <mergeCell ref="F82:F83"/>
    <mergeCell ref="G82:G83"/>
    <mergeCell ref="H82:H83"/>
    <mergeCell ref="I82:I83"/>
    <mergeCell ref="A78:A79"/>
    <mergeCell ref="B78:B79"/>
    <mergeCell ref="C78:C79"/>
    <mergeCell ref="D78:D79"/>
    <mergeCell ref="E78:E79"/>
    <mergeCell ref="F78:F79"/>
    <mergeCell ref="G78:G79"/>
    <mergeCell ref="H78:H79"/>
    <mergeCell ref="A68:D70"/>
    <mergeCell ref="E68:AG68"/>
    <mergeCell ref="AH68:AK68"/>
    <mergeCell ref="E69:AG70"/>
    <mergeCell ref="A72:B72"/>
    <mergeCell ref="C72:G72"/>
    <mergeCell ref="H72:I72"/>
    <mergeCell ref="J72:N72"/>
    <mergeCell ref="O72:P72"/>
    <mergeCell ref="Q72:AE72"/>
    <mergeCell ref="AG72:AK72"/>
    <mergeCell ref="L74:L75"/>
    <mergeCell ref="AH74:AH75"/>
    <mergeCell ref="AI74:AI75"/>
    <mergeCell ref="AJ74:AJ75"/>
    <mergeCell ref="AK74:AK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AF76:AF77"/>
    <mergeCell ref="AG76:AG77"/>
    <mergeCell ref="AH76:AH77"/>
    <mergeCell ref="AI76:AI77"/>
    <mergeCell ref="AJ76:AJ77"/>
    <mergeCell ref="M74:M75"/>
    <mergeCell ref="AJ78:AJ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I78:I79"/>
    <mergeCell ref="J78:J79"/>
    <mergeCell ref="K78:K79"/>
    <mergeCell ref="L78:L79"/>
    <mergeCell ref="M78:M79"/>
    <mergeCell ref="N78:N79"/>
    <mergeCell ref="AF78:AF79"/>
    <mergeCell ref="AG78:AG79"/>
    <mergeCell ref="AH78:AH79"/>
    <mergeCell ref="J82:J83"/>
    <mergeCell ref="K82:K83"/>
    <mergeCell ref="L82:L83"/>
    <mergeCell ref="M82:M83"/>
    <mergeCell ref="N82:N83"/>
    <mergeCell ref="A84:AK84"/>
    <mergeCell ref="A97:D99"/>
    <mergeCell ref="E97:AG97"/>
    <mergeCell ref="AH97:AK97"/>
    <mergeCell ref="E98:AG99"/>
    <mergeCell ref="AH98:AK98"/>
    <mergeCell ref="AH99:AK99"/>
    <mergeCell ref="AI78:AI79"/>
    <mergeCell ref="A101:B101"/>
    <mergeCell ref="C101:G101"/>
    <mergeCell ref="H101:I101"/>
    <mergeCell ref="J101:N101"/>
    <mergeCell ref="O101:P101"/>
    <mergeCell ref="Q101:AE101"/>
    <mergeCell ref="AG101:AK101"/>
    <mergeCell ref="A102:G102"/>
    <mergeCell ref="H102:N102"/>
    <mergeCell ref="O102:X102"/>
    <mergeCell ref="Y102:AE102"/>
    <mergeCell ref="AF102:AK102"/>
    <mergeCell ref="A103:A104"/>
    <mergeCell ref="B103:B104"/>
    <mergeCell ref="C103:C104"/>
    <mergeCell ref="D103:D104"/>
    <mergeCell ref="E103:E104"/>
    <mergeCell ref="F103:F104"/>
    <mergeCell ref="G103:G104"/>
    <mergeCell ref="H103:H104"/>
    <mergeCell ref="I103:I104"/>
    <mergeCell ref="J103:J104"/>
    <mergeCell ref="K103:K104"/>
    <mergeCell ref="L103:L104"/>
    <mergeCell ref="M103:M104"/>
    <mergeCell ref="N103:N104"/>
    <mergeCell ref="O103:O104"/>
    <mergeCell ref="P103:P104"/>
    <mergeCell ref="Q103:Q104"/>
    <mergeCell ref="R103:R104"/>
    <mergeCell ref="S103:X103"/>
    <mergeCell ref="Y103:Y104"/>
    <mergeCell ref="Z103:Z104"/>
    <mergeCell ref="AA103:AA104"/>
    <mergeCell ref="AB103:AB104"/>
    <mergeCell ref="AC103:AC104"/>
    <mergeCell ref="AD103:AD104"/>
    <mergeCell ref="AE103:AE104"/>
    <mergeCell ref="AF103:AF104"/>
    <mergeCell ref="AG103:AG104"/>
    <mergeCell ref="AH103:AH104"/>
    <mergeCell ref="AI103:AI104"/>
    <mergeCell ref="AJ103:AJ104"/>
    <mergeCell ref="AK103:AK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AF105:AF106"/>
    <mergeCell ref="AG105:AG106"/>
    <mergeCell ref="AH105:AH106"/>
    <mergeCell ref="AI105:AI106"/>
    <mergeCell ref="AJ105:AJ106"/>
    <mergeCell ref="A107:A108"/>
    <mergeCell ref="B107:B108"/>
    <mergeCell ref="C107:C108"/>
    <mergeCell ref="D107:D108"/>
    <mergeCell ref="E107:E108"/>
    <mergeCell ref="F107:F108"/>
    <mergeCell ref="G107:G108"/>
    <mergeCell ref="H107:H108"/>
    <mergeCell ref="I107:I108"/>
    <mergeCell ref="AJ107:AJ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M109:M110"/>
    <mergeCell ref="N109:N110"/>
    <mergeCell ref="J107:J108"/>
    <mergeCell ref="K107:K108"/>
    <mergeCell ref="L107:L108"/>
    <mergeCell ref="M107:M108"/>
    <mergeCell ref="N107:N108"/>
    <mergeCell ref="AF107:AF108"/>
    <mergeCell ref="AG107:AG108"/>
    <mergeCell ref="AH107:AH108"/>
    <mergeCell ref="AI107:AI108"/>
    <mergeCell ref="J111:J112"/>
    <mergeCell ref="K111:K112"/>
    <mergeCell ref="L111:L112"/>
    <mergeCell ref="M111:M112"/>
    <mergeCell ref="N111:N112"/>
    <mergeCell ref="A113:AK113"/>
    <mergeCell ref="A124:D126"/>
    <mergeCell ref="E124:AG124"/>
    <mergeCell ref="AH124:AK124"/>
    <mergeCell ref="E125:AG126"/>
    <mergeCell ref="AH125:AK125"/>
    <mergeCell ref="AH126:AK126"/>
    <mergeCell ref="A111:A112"/>
    <mergeCell ref="B111:B112"/>
    <mergeCell ref="C111:C112"/>
    <mergeCell ref="D111:D112"/>
    <mergeCell ref="E111:E112"/>
    <mergeCell ref="F111:F112"/>
    <mergeCell ref="G111:G112"/>
    <mergeCell ref="H111:H112"/>
    <mergeCell ref="I111:I112"/>
    <mergeCell ref="A128:B128"/>
    <mergeCell ref="C128:G128"/>
    <mergeCell ref="H128:I128"/>
    <mergeCell ref="J128:N128"/>
    <mergeCell ref="O128:P128"/>
    <mergeCell ref="Q128:AE128"/>
    <mergeCell ref="AG128:AK128"/>
    <mergeCell ref="A129:G129"/>
    <mergeCell ref="H129:N129"/>
    <mergeCell ref="O129:X129"/>
    <mergeCell ref="Y129:AE129"/>
    <mergeCell ref="AF129:AK129"/>
    <mergeCell ref="A130:A131"/>
    <mergeCell ref="B130:B131"/>
    <mergeCell ref="C130:C131"/>
    <mergeCell ref="D130:D131"/>
    <mergeCell ref="E130:E131"/>
    <mergeCell ref="F130:F131"/>
    <mergeCell ref="G130:G131"/>
    <mergeCell ref="H130:H131"/>
    <mergeCell ref="I130:I131"/>
    <mergeCell ref="A132:A133"/>
    <mergeCell ref="B132:B133"/>
    <mergeCell ref="C132:C133"/>
    <mergeCell ref="D132:D133"/>
    <mergeCell ref="E132:E133"/>
    <mergeCell ref="F132:F133"/>
    <mergeCell ref="G132:G133"/>
    <mergeCell ref="H132:H133"/>
    <mergeCell ref="I132:I133"/>
    <mergeCell ref="AI130:AI131"/>
    <mergeCell ref="AJ130:AJ131"/>
    <mergeCell ref="AK130:AK131"/>
    <mergeCell ref="J132:J133"/>
    <mergeCell ref="K132:K133"/>
    <mergeCell ref="L132:L133"/>
    <mergeCell ref="M132:M133"/>
    <mergeCell ref="N132:N133"/>
    <mergeCell ref="AF132:AF133"/>
    <mergeCell ref="AG132:AG133"/>
    <mergeCell ref="AH132:AH133"/>
    <mergeCell ref="AI132:AI133"/>
    <mergeCell ref="AJ132:AJ133"/>
    <mergeCell ref="S130:X130"/>
    <mergeCell ref="Y130:Y131"/>
    <mergeCell ref="Z130:Z131"/>
    <mergeCell ref="AA130:AA131"/>
    <mergeCell ref="AB130:AB131"/>
    <mergeCell ref="AC130:AC131"/>
    <mergeCell ref="AD130:AD131"/>
    <mergeCell ref="AE130:AE131"/>
    <mergeCell ref="AF130:AF131"/>
    <mergeCell ref="J130:J131"/>
    <mergeCell ref="K130:K131"/>
    <mergeCell ref="C134:C135"/>
    <mergeCell ref="D134:D135"/>
    <mergeCell ref="E134:E135"/>
    <mergeCell ref="F134:F135"/>
    <mergeCell ref="G134:G135"/>
    <mergeCell ref="H134:H135"/>
    <mergeCell ref="I134:I135"/>
    <mergeCell ref="AG130:AG131"/>
    <mergeCell ref="AH130:AH131"/>
    <mergeCell ref="L130:L131"/>
    <mergeCell ref="M130:M131"/>
    <mergeCell ref="N130:N131"/>
    <mergeCell ref="O130:O131"/>
    <mergeCell ref="P130:P131"/>
    <mergeCell ref="Q130:Q131"/>
    <mergeCell ref="R130:R131"/>
    <mergeCell ref="AA158:AA159"/>
    <mergeCell ref="AB158:AB159"/>
    <mergeCell ref="AC158:AC159"/>
    <mergeCell ref="J134:J135"/>
    <mergeCell ref="K134:K135"/>
    <mergeCell ref="L134:L135"/>
    <mergeCell ref="M134:M135"/>
    <mergeCell ref="N134:N135"/>
    <mergeCell ref="A136:A137"/>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A134:A135"/>
    <mergeCell ref="B134:B135"/>
    <mergeCell ref="A138:AK138"/>
    <mergeCell ref="A152:D154"/>
    <mergeCell ref="E152:AG152"/>
    <mergeCell ref="AH152:AK152"/>
    <mergeCell ref="E153:AG154"/>
    <mergeCell ref="AH153:AK153"/>
    <mergeCell ref="AH154:AK154"/>
    <mergeCell ref="A156:B156"/>
    <mergeCell ref="C156:G156"/>
    <mergeCell ref="H156:I156"/>
    <mergeCell ref="J156:N156"/>
    <mergeCell ref="O156:P156"/>
    <mergeCell ref="Q156:AE156"/>
    <mergeCell ref="AG156:AK156"/>
    <mergeCell ref="A157:G157"/>
    <mergeCell ref="H157:N157"/>
    <mergeCell ref="O157:X157"/>
    <mergeCell ref="Y157:AE157"/>
    <mergeCell ref="AF157:AK157"/>
    <mergeCell ref="A158:A159"/>
    <mergeCell ref="B158:B159"/>
    <mergeCell ref="C158:C159"/>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X158"/>
    <mergeCell ref="AH158:AH159"/>
    <mergeCell ref="AI158:AI159"/>
    <mergeCell ref="AJ158:AJ159"/>
    <mergeCell ref="AK158:AK159"/>
    <mergeCell ref="A160:A161"/>
    <mergeCell ref="B160:B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Y158:Y159"/>
    <mergeCell ref="Z158:Z159"/>
    <mergeCell ref="AD158:AD159"/>
    <mergeCell ref="AE158:AE159"/>
    <mergeCell ref="AF158:AF159"/>
    <mergeCell ref="AG158:AG159"/>
    <mergeCell ref="M165:M166"/>
    <mergeCell ref="N165:N166"/>
    <mergeCell ref="A163:A164"/>
    <mergeCell ref="B163:B164"/>
    <mergeCell ref="C163:C164"/>
    <mergeCell ref="D163:D164"/>
    <mergeCell ref="E163:E164"/>
    <mergeCell ref="F163:F164"/>
    <mergeCell ref="G163:G164"/>
    <mergeCell ref="H163:H164"/>
    <mergeCell ref="I163:I164"/>
    <mergeCell ref="AE187:AE188"/>
    <mergeCell ref="AF187:AF188"/>
    <mergeCell ref="AG187:AG188"/>
    <mergeCell ref="A186:G186"/>
    <mergeCell ref="H186:N186"/>
    <mergeCell ref="O186:X186"/>
    <mergeCell ref="Y186:AE186"/>
    <mergeCell ref="J163:J164"/>
    <mergeCell ref="K163:K164"/>
    <mergeCell ref="L163:L164"/>
    <mergeCell ref="M163:M164"/>
    <mergeCell ref="N163:N164"/>
    <mergeCell ref="A165:A166"/>
    <mergeCell ref="B165:B166"/>
    <mergeCell ref="C165:C166"/>
    <mergeCell ref="D165:D166"/>
    <mergeCell ref="E165:E166"/>
    <mergeCell ref="F165:F166"/>
    <mergeCell ref="G165:G166"/>
    <mergeCell ref="H165:H166"/>
    <mergeCell ref="I165:I166"/>
    <mergeCell ref="J165:J166"/>
    <mergeCell ref="K165:K166"/>
    <mergeCell ref="L165:L166"/>
    <mergeCell ref="A167:AK167"/>
    <mergeCell ref="A181:D183"/>
    <mergeCell ref="E181:AG181"/>
    <mergeCell ref="AH181:AK181"/>
    <mergeCell ref="E182:AG183"/>
    <mergeCell ref="AH182:AK182"/>
    <mergeCell ref="AH183:AK183"/>
    <mergeCell ref="A185:B185"/>
    <mergeCell ref="C185:G185"/>
    <mergeCell ref="H185:I185"/>
    <mergeCell ref="J185:N185"/>
    <mergeCell ref="O185:P185"/>
    <mergeCell ref="Q185:AE185"/>
    <mergeCell ref="AG185:AK185"/>
    <mergeCell ref="AF186:AK186"/>
    <mergeCell ref="A187:A188"/>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AH187:AH188"/>
    <mergeCell ref="AI187:AI188"/>
    <mergeCell ref="AJ187:AJ188"/>
    <mergeCell ref="AK187:AK188"/>
    <mergeCell ref="AC187:AC188"/>
    <mergeCell ref="AD187:AD188"/>
    <mergeCell ref="Q187:Q188"/>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Y187:Y188"/>
    <mergeCell ref="Z187:Z188"/>
    <mergeCell ref="AA187:AA188"/>
    <mergeCell ref="AB187:AB188"/>
    <mergeCell ref="R187:R188"/>
    <mergeCell ref="S187:X187"/>
    <mergeCell ref="J191:J192"/>
    <mergeCell ref="K191:K192"/>
    <mergeCell ref="L191:L192"/>
    <mergeCell ref="M191:M192"/>
    <mergeCell ref="N191:N192"/>
    <mergeCell ref="A193:AK193"/>
    <mergeCell ref="A191:A192"/>
    <mergeCell ref="B191:B192"/>
    <mergeCell ref="C191:C192"/>
    <mergeCell ref="D191:D192"/>
    <mergeCell ref="E191:E192"/>
    <mergeCell ref="F191:F192"/>
    <mergeCell ref="G191:G192"/>
    <mergeCell ref="H191:H192"/>
    <mergeCell ref="I191:I192"/>
  </mergeCells>
  <conditionalFormatting sqref="H16 H18 H20 H22">
    <cfRule type="cellIs" dxfId="855" priority="358" operator="equal">
      <formula>"Muy Baja"</formula>
    </cfRule>
    <cfRule type="cellIs" dxfId="854" priority="354" operator="equal">
      <formula>"Muy Alta"</formula>
    </cfRule>
    <cfRule type="cellIs" dxfId="853" priority="355" operator="equal">
      <formula>"Alta"</formula>
    </cfRule>
    <cfRule type="cellIs" dxfId="852" priority="356" operator="equal">
      <formula>"Media"</formula>
    </cfRule>
    <cfRule type="cellIs" dxfId="851" priority="357" operator="equal">
      <formula>"Baja"</formula>
    </cfRule>
  </conditionalFormatting>
  <conditionalFormatting sqref="H24">
    <cfRule type="cellIs" dxfId="850" priority="400" operator="equal">
      <formula>"Muy Alta"</formula>
    </cfRule>
    <cfRule type="cellIs" dxfId="849" priority="403" operator="equal">
      <formula>"Baja"</formula>
    </cfRule>
    <cfRule type="cellIs" dxfId="848" priority="402" operator="equal">
      <formula>"Media"</formula>
    </cfRule>
    <cfRule type="cellIs" dxfId="847" priority="404" operator="equal">
      <formula>"Muy Baja"</formula>
    </cfRule>
    <cfRule type="cellIs" dxfId="846" priority="401" operator="equal">
      <formula>"Alta"</formula>
    </cfRule>
  </conditionalFormatting>
  <conditionalFormatting sqref="H44 H46 H48 H50">
    <cfRule type="cellIs" dxfId="845" priority="321" operator="equal">
      <formula>"Alta"</formula>
    </cfRule>
    <cfRule type="cellIs" dxfId="844" priority="320" operator="equal">
      <formula>"Muy Alta"</formula>
    </cfRule>
    <cfRule type="cellIs" dxfId="843" priority="322" operator="equal">
      <formula>"Media"</formula>
    </cfRule>
    <cfRule type="cellIs" dxfId="842" priority="324" operator="equal">
      <formula>"Muy Baja"</formula>
    </cfRule>
    <cfRule type="cellIs" dxfId="841" priority="323" operator="equal">
      <formula>"Baja"</formula>
    </cfRule>
  </conditionalFormatting>
  <conditionalFormatting sqref="H52">
    <cfRule type="cellIs" dxfId="840" priority="352" operator="equal">
      <formula>"Baja"</formula>
    </cfRule>
    <cfRule type="cellIs" dxfId="839" priority="351" operator="equal">
      <formula>"Media"</formula>
    </cfRule>
    <cfRule type="cellIs" dxfId="838" priority="350" operator="equal">
      <formula>"Alta"</formula>
    </cfRule>
    <cfRule type="cellIs" dxfId="837" priority="349" operator="equal">
      <formula>"Muy Alta"</formula>
    </cfRule>
    <cfRule type="cellIs" dxfId="836" priority="353" operator="equal">
      <formula>"Muy Baja"</formula>
    </cfRule>
  </conditionalFormatting>
  <conditionalFormatting sqref="H76">
    <cfRule type="cellIs" dxfId="835" priority="223" operator="equal">
      <formula>"Baja"</formula>
    </cfRule>
    <cfRule type="cellIs" dxfId="834" priority="224" operator="equal">
      <formula>"Muy Baja"</formula>
    </cfRule>
    <cfRule type="cellIs" dxfId="833" priority="221" operator="equal">
      <formula>"Alta"</formula>
    </cfRule>
    <cfRule type="cellIs" dxfId="832" priority="222" operator="equal">
      <formula>"Media"</formula>
    </cfRule>
    <cfRule type="cellIs" dxfId="831" priority="220" operator="equal">
      <formula>"Muy Alta"</formula>
    </cfRule>
  </conditionalFormatting>
  <conditionalFormatting sqref="H78">
    <cfRule type="cellIs" dxfId="830" priority="215" operator="equal">
      <formula>"Muy Alta"</formula>
    </cfRule>
    <cfRule type="cellIs" dxfId="829" priority="216" operator="equal">
      <formula>"Alta"</formula>
    </cfRule>
    <cfRule type="cellIs" dxfId="828" priority="218" operator="equal">
      <formula>"Baja"</formula>
    </cfRule>
    <cfRule type="cellIs" dxfId="827" priority="219" operator="equal">
      <formula>"Muy Baja"</formula>
    </cfRule>
    <cfRule type="cellIs" dxfId="826" priority="217" operator="equal">
      <formula>"Media"</formula>
    </cfRule>
  </conditionalFormatting>
  <conditionalFormatting sqref="H80 H82">
    <cfRule type="cellIs" dxfId="825" priority="252" operator="equal">
      <formula>"Baja"</formula>
    </cfRule>
    <cfRule type="cellIs" dxfId="824" priority="250" operator="equal">
      <formula>"Alta"</formula>
    </cfRule>
    <cfRule type="cellIs" dxfId="823" priority="251" operator="equal">
      <formula>"Media"</formula>
    </cfRule>
    <cfRule type="cellIs" dxfId="822" priority="253" operator="equal">
      <formula>"Muy Baja"</formula>
    </cfRule>
    <cfRule type="cellIs" dxfId="821" priority="249" operator="equal">
      <formula>"Muy Alta"</formula>
    </cfRule>
  </conditionalFormatting>
  <conditionalFormatting sqref="H105">
    <cfRule type="cellIs" dxfId="820" priority="165" operator="equal">
      <formula>"Media"</formula>
    </cfRule>
    <cfRule type="cellIs" dxfId="819" priority="166" operator="equal">
      <formula>"Baja"</formula>
    </cfRule>
    <cfRule type="cellIs" dxfId="818" priority="167" operator="equal">
      <formula>"Muy Baja"</formula>
    </cfRule>
    <cfRule type="cellIs" dxfId="817" priority="163" operator="equal">
      <formula>"Muy Alta"</formula>
    </cfRule>
    <cfRule type="cellIs" dxfId="816" priority="164" operator="equal">
      <formula>"Alta"</formula>
    </cfRule>
  </conditionalFormatting>
  <conditionalFormatting sqref="H107">
    <cfRule type="cellIs" dxfId="815" priority="158" operator="equal">
      <formula>"Muy Alta"</formula>
    </cfRule>
    <cfRule type="cellIs" dxfId="814" priority="160" operator="equal">
      <formula>"Media"</formula>
    </cfRule>
    <cfRule type="cellIs" dxfId="813" priority="161" operator="equal">
      <formula>"Baja"</formula>
    </cfRule>
    <cfRule type="cellIs" dxfId="812" priority="162" operator="equal">
      <formula>"Muy Baja"</formula>
    </cfRule>
    <cfRule type="cellIs" dxfId="811" priority="159" operator="equal">
      <formula>"Alta"</formula>
    </cfRule>
  </conditionalFormatting>
  <conditionalFormatting sqref="H109 H111">
    <cfRule type="cellIs" dxfId="810" priority="196" operator="equal">
      <formula>"Muy Baja"</formula>
    </cfRule>
    <cfRule type="cellIs" dxfId="809" priority="195" operator="equal">
      <formula>"Baja"</formula>
    </cfRule>
    <cfRule type="cellIs" dxfId="808" priority="194" operator="equal">
      <formula>"Media"</formula>
    </cfRule>
    <cfRule type="cellIs" dxfId="807" priority="192" operator="equal">
      <formula>"Muy Alta"</formula>
    </cfRule>
    <cfRule type="cellIs" dxfId="806" priority="193" operator="equal">
      <formula>"Alta"</formula>
    </cfRule>
  </conditionalFormatting>
  <conditionalFormatting sqref="H132">
    <cfRule type="cellIs" dxfId="805" priority="106" operator="equal">
      <formula>"Muy Alta"</formula>
    </cfRule>
    <cfRule type="cellIs" dxfId="804" priority="109" operator="equal">
      <formula>"Baja"</formula>
    </cfRule>
    <cfRule type="cellIs" dxfId="803" priority="108" operator="equal">
      <formula>"Media"</formula>
    </cfRule>
    <cfRule type="cellIs" dxfId="802" priority="107" operator="equal">
      <formula>"Alta"</formula>
    </cfRule>
    <cfRule type="cellIs" dxfId="801" priority="110" operator="equal">
      <formula>"Muy Baja"</formula>
    </cfRule>
  </conditionalFormatting>
  <conditionalFormatting sqref="H134 H136">
    <cfRule type="cellIs" dxfId="800" priority="135" operator="equal">
      <formula>"Muy Alta"</formula>
    </cfRule>
    <cfRule type="cellIs" dxfId="799" priority="139" operator="equal">
      <formula>"Muy Baja"</formula>
    </cfRule>
    <cfRule type="cellIs" dxfId="798" priority="136" operator="equal">
      <formula>"Alta"</formula>
    </cfRule>
    <cfRule type="cellIs" dxfId="797" priority="138" operator="equal">
      <formula>"Baja"</formula>
    </cfRule>
    <cfRule type="cellIs" dxfId="796" priority="137" operator="equal">
      <formula>"Media"</formula>
    </cfRule>
  </conditionalFormatting>
  <conditionalFormatting sqref="H160 H162:H163 H165">
    <cfRule type="cellIs" dxfId="795" priority="103" operator="equal">
      <formula>"Media"</formula>
    </cfRule>
    <cfRule type="cellIs" dxfId="794" priority="101" operator="equal">
      <formula>"Muy Alta"</formula>
    </cfRule>
    <cfRule type="cellIs" dxfId="793" priority="102" operator="equal">
      <formula>"Alta"</formula>
    </cfRule>
    <cfRule type="cellIs" dxfId="792" priority="105" operator="equal">
      <formula>"Muy Baja"</formula>
    </cfRule>
    <cfRule type="cellIs" dxfId="791" priority="104" operator="equal">
      <formula>"Baja"</formula>
    </cfRule>
  </conditionalFormatting>
  <conditionalFormatting sqref="H189">
    <cfRule type="cellIs" dxfId="790" priority="2" operator="equal">
      <formula>"Alta"</formula>
    </cfRule>
    <cfRule type="cellIs" dxfId="789" priority="3" operator="equal">
      <formula>"Media"</formula>
    </cfRule>
    <cfRule type="cellIs" dxfId="788" priority="4" operator="equal">
      <formula>"Baja"</formula>
    </cfRule>
    <cfRule type="cellIs" dxfId="787" priority="5" operator="equal">
      <formula>"Muy Baja"</formula>
    </cfRule>
    <cfRule type="cellIs" dxfId="786" priority="1" operator="equal">
      <formula>"Muy Alta"</formula>
    </cfRule>
  </conditionalFormatting>
  <conditionalFormatting sqref="H191">
    <cfRule type="cellIs" dxfId="785" priority="51" operator="equal">
      <formula>"Baja"</formula>
    </cfRule>
    <cfRule type="cellIs" dxfId="784" priority="52" operator="equal">
      <formula>"Muy Baja"</formula>
    </cfRule>
    <cfRule type="cellIs" dxfId="783" priority="49" operator="equal">
      <formula>"Alta"</formula>
    </cfRule>
    <cfRule type="cellIs" dxfId="782" priority="48" operator="equal">
      <formula>"Muy Alta"</formula>
    </cfRule>
    <cfRule type="cellIs" dxfId="781" priority="50" operator="equal">
      <formula>"Media"</formula>
    </cfRule>
  </conditionalFormatting>
  <conditionalFormatting sqref="K16:K25">
    <cfRule type="containsText" dxfId="780" priority="368" operator="containsText" text="❌">
      <formula>NOT(ISERROR(SEARCH("❌",K16)))</formula>
    </cfRule>
  </conditionalFormatting>
  <conditionalFormatting sqref="K44:K53">
    <cfRule type="containsText" dxfId="779" priority="334" operator="containsText" text="❌">
      <formula>NOT(ISERROR(SEARCH("❌",K44)))</formula>
    </cfRule>
  </conditionalFormatting>
  <conditionalFormatting sqref="K76:K83">
    <cfRule type="containsText" dxfId="778" priority="234" operator="containsText" text="❌">
      <formula>NOT(ISERROR(SEARCH("❌",K76)))</formula>
    </cfRule>
  </conditionalFormatting>
  <conditionalFormatting sqref="K105:K112">
    <cfRule type="containsText" dxfId="777" priority="182" operator="containsText" text="❌">
      <formula>NOT(ISERROR(SEARCH("❌",K105)))</formula>
    </cfRule>
  </conditionalFormatting>
  <conditionalFormatting sqref="K132:K137">
    <cfRule type="containsText" dxfId="776" priority="120" operator="containsText" text="❌">
      <formula>NOT(ISERROR(SEARCH("❌",K132)))</formula>
    </cfRule>
  </conditionalFormatting>
  <conditionalFormatting sqref="K160:K161">
    <cfRule type="containsText" dxfId="775" priority="87" operator="containsText" text="❌">
      <formula>NOT(ISERROR(SEARCH(("❌"),(K160))))</formula>
    </cfRule>
  </conditionalFormatting>
  <conditionalFormatting sqref="K162:K166">
    <cfRule type="containsText" dxfId="774" priority="53" operator="containsText" text="❌">
      <formula>NOT(ISERROR(SEARCH("❌",K162)))</formula>
    </cfRule>
  </conditionalFormatting>
  <conditionalFormatting sqref="K189:K192">
    <cfRule type="containsText" dxfId="773" priority="34" operator="containsText" text="❌">
      <formula>NOT(ISERROR(SEARCH("❌",K189)))</formula>
    </cfRule>
  </conditionalFormatting>
  <conditionalFormatting sqref="L16 AB16:AB25">
    <cfRule type="cellIs" dxfId="772" priority="363" operator="equal">
      <formula>"Catastrófico"</formula>
    </cfRule>
    <cfRule type="cellIs" dxfId="771" priority="364" operator="equal">
      <formula>"Mayor"</formula>
    </cfRule>
    <cfRule type="cellIs" dxfId="770" priority="365" operator="equal">
      <formula>"Moderado"</formula>
    </cfRule>
    <cfRule type="cellIs" dxfId="769" priority="366" operator="equal">
      <formula>"Menor"</formula>
    </cfRule>
    <cfRule type="cellIs" dxfId="768" priority="367" operator="equal">
      <formula>"Leve"</formula>
    </cfRule>
  </conditionalFormatting>
  <conditionalFormatting sqref="L18 L20 L22">
    <cfRule type="cellIs" dxfId="767" priority="381" operator="equal">
      <formula>"Catastrófico"</formula>
    </cfRule>
    <cfRule type="cellIs" dxfId="766" priority="382" operator="equal">
      <formula>"Mayor"</formula>
    </cfRule>
    <cfRule type="cellIs" dxfId="765" priority="383" operator="equal">
      <formula>"Moderado"</formula>
    </cfRule>
    <cfRule type="cellIs" dxfId="764" priority="384" operator="equal">
      <formula>"Menor"</formula>
    </cfRule>
    <cfRule type="cellIs" dxfId="763" priority="385" operator="equal">
      <formula>"Leve"</formula>
    </cfRule>
  </conditionalFormatting>
  <conditionalFormatting sqref="L24">
    <cfRule type="cellIs" dxfId="762" priority="399" operator="equal">
      <formula>"Leve"</formula>
    </cfRule>
    <cfRule type="cellIs" dxfId="761" priority="398" operator="equal">
      <formula>"Menor"</formula>
    </cfRule>
    <cfRule type="cellIs" dxfId="760" priority="397" operator="equal">
      <formula>"Moderado"</formula>
    </cfRule>
    <cfRule type="cellIs" dxfId="759" priority="396" operator="equal">
      <formula>"Mayor"</formula>
    </cfRule>
    <cfRule type="cellIs" dxfId="758" priority="395" operator="equal">
      <formula>"Catastrófico"</formula>
    </cfRule>
  </conditionalFormatting>
  <conditionalFormatting sqref="L44 L46 L48 L50">
    <cfRule type="cellIs" dxfId="757" priority="318" operator="equal">
      <formula>"Menor"</formula>
    </cfRule>
    <cfRule type="cellIs" dxfId="756" priority="315" operator="equal">
      <formula>"Catastrófico"</formula>
    </cfRule>
    <cfRule type="cellIs" dxfId="755" priority="316" operator="equal">
      <formula>"Mayor"</formula>
    </cfRule>
    <cfRule type="cellIs" dxfId="754" priority="317" operator="equal">
      <formula>"Moderado"</formula>
    </cfRule>
    <cfRule type="cellIs" dxfId="753" priority="319" operator="equal">
      <formula>"Leve"</formula>
    </cfRule>
  </conditionalFormatting>
  <conditionalFormatting sqref="L52">
    <cfRule type="cellIs" dxfId="752" priority="346" operator="equal">
      <formula>"Moderado"</formula>
    </cfRule>
    <cfRule type="cellIs" dxfId="751" priority="345" operator="equal">
      <formula>"Mayor"</formula>
    </cfRule>
    <cfRule type="cellIs" dxfId="750" priority="344" operator="equal">
      <formula>"Catastrófico"</formula>
    </cfRule>
    <cfRule type="cellIs" dxfId="749" priority="348" operator="equal">
      <formula>"Leve"</formula>
    </cfRule>
    <cfRule type="cellIs" dxfId="748" priority="347" operator="equal">
      <formula>"Menor"</formula>
    </cfRule>
  </conditionalFormatting>
  <conditionalFormatting sqref="L76">
    <cfRule type="cellIs" dxfId="747" priority="214" operator="equal">
      <formula>"Leve"</formula>
    </cfRule>
    <cfRule type="cellIs" dxfId="746" priority="210" operator="equal">
      <formula>"Catastrófico"</formula>
    </cfRule>
    <cfRule type="cellIs" dxfId="745" priority="211" operator="equal">
      <formula>"Mayor"</formula>
    </cfRule>
    <cfRule type="cellIs" dxfId="744" priority="212" operator="equal">
      <formula>"Moderado"</formula>
    </cfRule>
    <cfRule type="cellIs" dxfId="743" priority="213" operator="equal">
      <formula>"Menor"</formula>
    </cfRule>
  </conditionalFormatting>
  <conditionalFormatting sqref="L78">
    <cfRule type="cellIs" dxfId="742" priority="205" operator="equal">
      <formula>"Leve"</formula>
    </cfRule>
    <cfRule type="cellIs" dxfId="741" priority="204" operator="equal">
      <formula>"Menor"</formula>
    </cfRule>
    <cfRule type="cellIs" dxfId="740" priority="202" operator="equal">
      <formula>"Mayor"</formula>
    </cfRule>
    <cfRule type="cellIs" dxfId="739" priority="201" operator="equal">
      <formula>"Catastrófico"</formula>
    </cfRule>
    <cfRule type="cellIs" dxfId="738" priority="203" operator="equal">
      <formula>"Moderado"</formula>
    </cfRule>
  </conditionalFormatting>
  <conditionalFormatting sqref="L80 L82">
    <cfRule type="cellIs" dxfId="737" priority="247" operator="equal">
      <formula>"Menor"</formula>
    </cfRule>
    <cfRule type="cellIs" dxfId="736" priority="248" operator="equal">
      <formula>"Leve"</formula>
    </cfRule>
    <cfRule type="cellIs" dxfId="735" priority="246" operator="equal">
      <formula>"Moderado"</formula>
    </cfRule>
    <cfRule type="cellIs" dxfId="734" priority="245" operator="equal">
      <formula>"Mayor"</formula>
    </cfRule>
    <cfRule type="cellIs" dxfId="733" priority="244" operator="equal">
      <formula>"Catastrófico"</formula>
    </cfRule>
  </conditionalFormatting>
  <conditionalFormatting sqref="L105">
    <cfRule type="cellIs" dxfId="732" priority="157" operator="equal">
      <formula>"Leve"</formula>
    </cfRule>
    <cfRule type="cellIs" dxfId="731" priority="156" operator="equal">
      <formula>"Menor"</formula>
    </cfRule>
    <cfRule type="cellIs" dxfId="730" priority="155" operator="equal">
      <formula>"Moderado"</formula>
    </cfRule>
    <cfRule type="cellIs" dxfId="729" priority="154" operator="equal">
      <formula>"Mayor"</formula>
    </cfRule>
    <cfRule type="cellIs" dxfId="728" priority="153" operator="equal">
      <formula>"Catastrófico"</formula>
    </cfRule>
  </conditionalFormatting>
  <conditionalFormatting sqref="L107">
    <cfRule type="cellIs" dxfId="727" priority="147" operator="equal">
      <formula>"Menor"</formula>
    </cfRule>
    <cfRule type="cellIs" dxfId="726" priority="146" operator="equal">
      <formula>"Moderado"</formula>
    </cfRule>
    <cfRule type="cellIs" dxfId="725" priority="144" operator="equal">
      <formula>"Catastrófico"</formula>
    </cfRule>
    <cfRule type="cellIs" dxfId="724" priority="145" operator="equal">
      <formula>"Mayor"</formula>
    </cfRule>
    <cfRule type="cellIs" dxfId="723" priority="148" operator="equal">
      <formula>"Leve"</formula>
    </cfRule>
  </conditionalFormatting>
  <conditionalFormatting sqref="L109 L111">
    <cfRule type="cellIs" dxfId="722" priority="187" operator="equal">
      <formula>"Catastrófico"</formula>
    </cfRule>
    <cfRule type="cellIs" dxfId="721" priority="191" operator="equal">
      <formula>"Leve"</formula>
    </cfRule>
    <cfRule type="cellIs" dxfId="720" priority="190" operator="equal">
      <formula>"Menor"</formula>
    </cfRule>
    <cfRule type="cellIs" dxfId="719" priority="189" operator="equal">
      <formula>"Moderado"</formula>
    </cfRule>
    <cfRule type="cellIs" dxfId="718" priority="188" operator="equal">
      <formula>"Mayor"</formula>
    </cfRule>
  </conditionalFormatting>
  <conditionalFormatting sqref="L132 AB132:AB137">
    <cfRule type="cellIs" dxfId="717" priority="115" operator="equal">
      <formula>"Catastrófico"</formula>
    </cfRule>
    <cfRule type="cellIs" dxfId="716" priority="118" operator="equal">
      <formula>"Menor"</formula>
    </cfRule>
    <cfRule type="cellIs" dxfId="715" priority="116" operator="equal">
      <formula>"Mayor"</formula>
    </cfRule>
    <cfRule type="cellIs" dxfId="714" priority="119" operator="equal">
      <formula>"Leve"</formula>
    </cfRule>
    <cfRule type="cellIs" dxfId="713" priority="117" operator="equal">
      <formula>"Moderado"</formula>
    </cfRule>
  </conditionalFormatting>
  <conditionalFormatting sqref="L134 L136">
    <cfRule type="cellIs" dxfId="712" priority="134" operator="equal">
      <formula>"Leve"</formula>
    </cfRule>
    <cfRule type="cellIs" dxfId="711" priority="131" operator="equal">
      <formula>"Mayor"</formula>
    </cfRule>
    <cfRule type="cellIs" dxfId="710" priority="130" operator="equal">
      <formula>"Catastrófico"</formula>
    </cfRule>
    <cfRule type="cellIs" dxfId="709" priority="132" operator="equal">
      <formula>"Moderado"</formula>
    </cfRule>
    <cfRule type="cellIs" dxfId="708" priority="133" operator="equal">
      <formula>"Menor"</formula>
    </cfRule>
  </conditionalFormatting>
  <conditionalFormatting sqref="L160 AB163:AB166">
    <cfRule type="cellIs" dxfId="707" priority="62" operator="equal">
      <formula>"Menor"</formula>
    </cfRule>
    <cfRule type="cellIs" dxfId="706" priority="61" operator="equal">
      <formula>"Moderado"</formula>
    </cfRule>
    <cfRule type="cellIs" dxfId="705" priority="60" operator="equal">
      <formula>"Mayor"</formula>
    </cfRule>
    <cfRule type="cellIs" dxfId="704" priority="59" operator="equal">
      <formula>"Catastrófico"</formula>
    </cfRule>
    <cfRule type="cellIs" dxfId="703" priority="63" operator="equal">
      <formula>"Leve"</formula>
    </cfRule>
  </conditionalFormatting>
  <conditionalFormatting sqref="L162:L163">
    <cfRule type="cellIs" dxfId="702" priority="58" operator="equal">
      <formula>"Leve"</formula>
    </cfRule>
    <cfRule type="cellIs" dxfId="701" priority="54" operator="equal">
      <formula>"Catastrófico"</formula>
    </cfRule>
    <cfRule type="cellIs" dxfId="700" priority="55" operator="equal">
      <formula>"Mayor"</formula>
    </cfRule>
    <cfRule type="cellIs" dxfId="699" priority="56" operator="equal">
      <formula>"Moderado"</formula>
    </cfRule>
    <cfRule type="cellIs" dxfId="698" priority="57" operator="equal">
      <formula>"Menor"</formula>
    </cfRule>
  </conditionalFormatting>
  <conditionalFormatting sqref="L165">
    <cfRule type="cellIs" dxfId="697" priority="100" operator="equal">
      <formula>"Leve"</formula>
    </cfRule>
    <cfRule type="cellIs" dxfId="696" priority="96" operator="equal">
      <formula>"Catastrófico"</formula>
    </cfRule>
    <cfRule type="cellIs" dxfId="695" priority="97" operator="equal">
      <formula>"Mayor"</formula>
    </cfRule>
    <cfRule type="cellIs" dxfId="694" priority="98" operator="equal">
      <formula>"Moderado"</formula>
    </cfRule>
    <cfRule type="cellIs" dxfId="693" priority="99" operator="equal">
      <formula>"Menor"</formula>
    </cfRule>
  </conditionalFormatting>
  <conditionalFormatting sqref="L189 AB191:AB192">
    <cfRule type="cellIs" dxfId="692" priority="6" operator="equal">
      <formula>"Catastrófico"</formula>
    </cfRule>
    <cfRule type="cellIs" dxfId="691" priority="7" operator="equal">
      <formula>"Mayor"</formula>
    </cfRule>
    <cfRule type="cellIs" dxfId="690" priority="8" operator="equal">
      <formula>"Moderado"</formula>
    </cfRule>
    <cfRule type="cellIs" dxfId="689" priority="9" operator="equal">
      <formula>"Menor"</formula>
    </cfRule>
    <cfRule type="cellIs" dxfId="688" priority="10" operator="equal">
      <formula>"Leve"</formula>
    </cfRule>
  </conditionalFormatting>
  <conditionalFormatting sqref="L191">
    <cfRule type="cellIs" dxfId="687" priority="43" operator="equal">
      <formula>"Catastrófico"</formula>
    </cfRule>
    <cfRule type="cellIs" dxfId="686" priority="45" operator="equal">
      <formula>"Moderado"</formula>
    </cfRule>
    <cfRule type="cellIs" dxfId="685" priority="46" operator="equal">
      <formula>"Menor"</formula>
    </cfRule>
    <cfRule type="cellIs" dxfId="684" priority="47" operator="equal">
      <formula>"Leve"</formula>
    </cfRule>
    <cfRule type="cellIs" dxfId="683" priority="44" operator="equal">
      <formula>"Mayor"</formula>
    </cfRule>
  </conditionalFormatting>
  <conditionalFormatting sqref="N16 AD16:AD25">
    <cfRule type="cellIs" dxfId="682" priority="362" operator="equal">
      <formula>"Bajo"</formula>
    </cfRule>
    <cfRule type="cellIs" dxfId="681" priority="361" operator="equal">
      <formula>"Moderado"</formula>
    </cfRule>
    <cfRule type="cellIs" dxfId="680" priority="360" operator="equal">
      <formula>"Alto"</formula>
    </cfRule>
    <cfRule type="cellIs" dxfId="679" priority="359" operator="equal">
      <formula>"Extremo"</formula>
    </cfRule>
  </conditionalFormatting>
  <conditionalFormatting sqref="N18">
    <cfRule type="cellIs" dxfId="678" priority="380" operator="equal">
      <formula>"Bajo"</formula>
    </cfRule>
    <cfRule type="cellIs" dxfId="677" priority="379" operator="equal">
      <formula>"Moderado"</formula>
    </cfRule>
    <cfRule type="cellIs" dxfId="676" priority="377" operator="equal">
      <formula>"Extremo"</formula>
    </cfRule>
    <cfRule type="cellIs" dxfId="675" priority="378" operator="equal">
      <formula>"Alto"</formula>
    </cfRule>
  </conditionalFormatting>
  <conditionalFormatting sqref="N20">
    <cfRule type="cellIs" dxfId="674" priority="376" operator="equal">
      <formula>"Bajo"</formula>
    </cfRule>
    <cfRule type="cellIs" dxfId="673" priority="373" operator="equal">
      <formula>"Extremo"</formula>
    </cfRule>
    <cfRule type="cellIs" dxfId="672" priority="374" operator="equal">
      <formula>"Alto"</formula>
    </cfRule>
    <cfRule type="cellIs" dxfId="671" priority="375" operator="equal">
      <formula>"Moderado"</formula>
    </cfRule>
  </conditionalFormatting>
  <conditionalFormatting sqref="N22">
    <cfRule type="cellIs" dxfId="670" priority="370" operator="equal">
      <formula>"Alto"</formula>
    </cfRule>
    <cfRule type="cellIs" dxfId="669" priority="369" operator="equal">
      <formula>"Extremo"</formula>
    </cfRule>
    <cfRule type="cellIs" dxfId="668" priority="371" operator="equal">
      <formula>"Moderado"</formula>
    </cfRule>
    <cfRule type="cellIs" dxfId="667" priority="372" operator="equal">
      <formula>"Bajo"</formula>
    </cfRule>
  </conditionalFormatting>
  <conditionalFormatting sqref="N24">
    <cfRule type="cellIs" dxfId="666" priority="391" operator="equal">
      <formula>"Extremo"</formula>
    </cfRule>
    <cfRule type="cellIs" dxfId="665" priority="392" operator="equal">
      <formula>"Alto"</formula>
    </cfRule>
    <cfRule type="cellIs" dxfId="664" priority="393" operator="equal">
      <formula>"Moderado"</formula>
    </cfRule>
    <cfRule type="cellIs" dxfId="663" priority="394" operator="equal">
      <formula>"Bajo"</formula>
    </cfRule>
  </conditionalFormatting>
  <conditionalFormatting sqref="N44 N46 N48 N50">
    <cfRule type="cellIs" dxfId="662" priority="311" operator="equal">
      <formula>"Extremo"</formula>
    </cfRule>
    <cfRule type="cellIs" dxfId="661" priority="312" operator="equal">
      <formula>"Alto"</formula>
    </cfRule>
    <cfRule type="cellIs" dxfId="660" priority="314" operator="equal">
      <formula>"Bajo"</formula>
    </cfRule>
    <cfRule type="cellIs" dxfId="659" priority="313" operator="equal">
      <formula>"Moderado"</formula>
    </cfRule>
  </conditionalFormatting>
  <conditionalFormatting sqref="N52">
    <cfRule type="cellIs" dxfId="658" priority="343" operator="equal">
      <formula>"Bajo"</formula>
    </cfRule>
    <cfRule type="cellIs" dxfId="657" priority="342" operator="equal">
      <formula>"Moderado"</formula>
    </cfRule>
    <cfRule type="cellIs" dxfId="656" priority="341" operator="equal">
      <formula>"Alto"</formula>
    </cfRule>
    <cfRule type="cellIs" dxfId="655" priority="340" operator="equal">
      <formula>"Extremo"</formula>
    </cfRule>
  </conditionalFormatting>
  <conditionalFormatting sqref="N76">
    <cfRule type="cellIs" dxfId="654" priority="209" operator="equal">
      <formula>"Bajo"</formula>
    </cfRule>
    <cfRule type="cellIs" dxfId="653" priority="206" operator="equal">
      <formula>"Extremo"</formula>
    </cfRule>
    <cfRule type="cellIs" dxfId="652" priority="207" operator="equal">
      <formula>"Alto"</formula>
    </cfRule>
    <cfRule type="cellIs" dxfId="651" priority="208" operator="equal">
      <formula>"Moderado"</formula>
    </cfRule>
  </conditionalFormatting>
  <conditionalFormatting sqref="N78">
    <cfRule type="cellIs" dxfId="650" priority="197" operator="equal">
      <formula>"Extremo"</formula>
    </cfRule>
    <cfRule type="cellIs" dxfId="649" priority="198" operator="equal">
      <formula>"Alto"</formula>
    </cfRule>
    <cfRule type="cellIs" dxfId="648" priority="199" operator="equal">
      <formula>"Moderado"</formula>
    </cfRule>
    <cfRule type="cellIs" dxfId="647" priority="200" operator="equal">
      <formula>"Bajo"</formula>
    </cfRule>
  </conditionalFormatting>
  <conditionalFormatting sqref="N80 N82">
    <cfRule type="cellIs" dxfId="646" priority="242" operator="equal">
      <formula>"Moderado"</formula>
    </cfRule>
    <cfRule type="cellIs" dxfId="645" priority="240" operator="equal">
      <formula>"Extremo"</formula>
    </cfRule>
    <cfRule type="cellIs" dxfId="644" priority="241" operator="equal">
      <formula>"Alto"</formula>
    </cfRule>
    <cfRule type="cellIs" dxfId="643" priority="243" operator="equal">
      <formula>"Bajo"</formula>
    </cfRule>
  </conditionalFormatting>
  <conditionalFormatting sqref="N105">
    <cfRule type="cellIs" dxfId="642" priority="152" operator="equal">
      <formula>"Bajo"</formula>
    </cfRule>
    <cfRule type="cellIs" dxfId="641" priority="149" operator="equal">
      <formula>"Extremo"</formula>
    </cfRule>
    <cfRule type="cellIs" dxfId="640" priority="150" operator="equal">
      <formula>"Alto"</formula>
    </cfRule>
    <cfRule type="cellIs" dxfId="639" priority="151" operator="equal">
      <formula>"Moderado"</formula>
    </cfRule>
  </conditionalFormatting>
  <conditionalFormatting sqref="N107">
    <cfRule type="cellIs" dxfId="638" priority="143" operator="equal">
      <formula>"Bajo"</formula>
    </cfRule>
    <cfRule type="cellIs" dxfId="637" priority="141" operator="equal">
      <formula>"Alto"</formula>
    </cfRule>
    <cfRule type="cellIs" dxfId="636" priority="140" operator="equal">
      <formula>"Extremo"</formula>
    </cfRule>
    <cfRule type="cellIs" dxfId="635" priority="142" operator="equal">
      <formula>"Moderado"</formula>
    </cfRule>
  </conditionalFormatting>
  <conditionalFormatting sqref="N109 N111">
    <cfRule type="cellIs" dxfId="634" priority="184" operator="equal">
      <formula>"Alto"</formula>
    </cfRule>
    <cfRule type="cellIs" dxfId="633" priority="183" operator="equal">
      <formula>"Extremo"</formula>
    </cfRule>
    <cfRule type="cellIs" dxfId="632" priority="186" operator="equal">
      <formula>"Bajo"</formula>
    </cfRule>
    <cfRule type="cellIs" dxfId="631" priority="185" operator="equal">
      <formula>"Moderado"</formula>
    </cfRule>
  </conditionalFormatting>
  <conditionalFormatting sqref="N132 AD132:AD137">
    <cfRule type="cellIs" dxfId="630" priority="112" operator="equal">
      <formula>"Alto"</formula>
    </cfRule>
    <cfRule type="cellIs" dxfId="629" priority="111" operator="equal">
      <formula>"Extremo"</formula>
    </cfRule>
    <cfRule type="cellIs" dxfId="628" priority="114" operator="equal">
      <formula>"Bajo"</formula>
    </cfRule>
    <cfRule type="cellIs" dxfId="627" priority="113" operator="equal">
      <formula>"Moderado"</formula>
    </cfRule>
  </conditionalFormatting>
  <conditionalFormatting sqref="N134 N136">
    <cfRule type="cellIs" dxfId="626" priority="129" operator="equal">
      <formula>"Bajo"</formula>
    </cfRule>
    <cfRule type="cellIs" dxfId="625" priority="128" operator="equal">
      <formula>"Moderado"</formula>
    </cfRule>
    <cfRule type="cellIs" dxfId="624" priority="127" operator="equal">
      <formula>"Alto"</formula>
    </cfRule>
    <cfRule type="cellIs" dxfId="623" priority="126" operator="equal">
      <formula>"Extremo"</formula>
    </cfRule>
  </conditionalFormatting>
  <conditionalFormatting sqref="N160 AD160:AD162">
    <cfRule type="cellIs" dxfId="622" priority="79" operator="equal">
      <formula>"Extremo"</formula>
    </cfRule>
    <cfRule type="cellIs" dxfId="621" priority="80" operator="equal">
      <formula>"Alto"</formula>
    </cfRule>
    <cfRule type="cellIs" dxfId="620" priority="82" operator="equal">
      <formula>"Bajo"</formula>
    </cfRule>
    <cfRule type="cellIs" dxfId="619" priority="81" operator="equal">
      <formula>"Moderado"</formula>
    </cfRule>
  </conditionalFormatting>
  <conditionalFormatting sqref="N162">
    <cfRule type="cellIs" dxfId="618" priority="86" operator="equal">
      <formula>"Bajo"</formula>
    </cfRule>
    <cfRule type="cellIs" dxfId="617" priority="85" operator="equal">
      <formula>"Moderado"</formula>
    </cfRule>
    <cfRule type="cellIs" dxfId="616" priority="84" operator="equal">
      <formula>"Alto"</formula>
    </cfRule>
    <cfRule type="cellIs" dxfId="615" priority="83" operator="equal">
      <formula>"Extremo"</formula>
    </cfRule>
  </conditionalFormatting>
  <conditionalFormatting sqref="N163 N165">
    <cfRule type="cellIs" dxfId="614" priority="92" operator="equal">
      <formula>"Extremo"</formula>
    </cfRule>
    <cfRule type="cellIs" dxfId="613" priority="95" operator="equal">
      <formula>"Bajo"</formula>
    </cfRule>
    <cfRule type="cellIs" dxfId="612" priority="94" operator="equal">
      <formula>"Moderado"</formula>
    </cfRule>
    <cfRule type="cellIs" dxfId="611" priority="93" operator="equal">
      <formula>"Alto"</formula>
    </cfRule>
  </conditionalFormatting>
  <conditionalFormatting sqref="N189">
    <cfRule type="cellIs" dxfId="610" priority="32" operator="equal">
      <formula>"Moderado"</formula>
    </cfRule>
    <cfRule type="cellIs" dxfId="609" priority="33" operator="equal">
      <formula>"Bajo"</formula>
    </cfRule>
    <cfRule type="cellIs" dxfId="608" priority="31" operator="equal">
      <formula>"Alto"</formula>
    </cfRule>
    <cfRule type="cellIs" dxfId="607" priority="30" operator="equal">
      <formula>"Extremo"</formula>
    </cfRule>
  </conditionalFormatting>
  <conditionalFormatting sqref="N191">
    <cfRule type="cellIs" dxfId="606" priority="40" operator="equal">
      <formula>"Alto"</formula>
    </cfRule>
    <cfRule type="cellIs" dxfId="605" priority="39" operator="equal">
      <formula>"Extremo"</formula>
    </cfRule>
    <cfRule type="cellIs" dxfId="604" priority="41" operator="equal">
      <formula>"Moderado"</formula>
    </cfRule>
    <cfRule type="cellIs" dxfId="603" priority="42" operator="equal">
      <formula>"Bajo"</formula>
    </cfRule>
  </conditionalFormatting>
  <conditionalFormatting sqref="Z16:Z25">
    <cfRule type="cellIs" dxfId="602" priority="390" operator="equal">
      <formula>"Muy Baja"</formula>
    </cfRule>
    <cfRule type="cellIs" dxfId="601" priority="386" operator="equal">
      <formula>"Muy Alta"</formula>
    </cfRule>
    <cfRule type="cellIs" dxfId="600" priority="387" operator="equal">
      <formula>"Alta"</formula>
    </cfRule>
    <cfRule type="cellIs" dxfId="599" priority="389" operator="equal">
      <formula>"Baja"</formula>
    </cfRule>
    <cfRule type="cellIs" dxfId="598" priority="388" operator="equal">
      <formula>"Media"</formula>
    </cfRule>
  </conditionalFormatting>
  <conditionalFormatting sqref="Z44:Z53">
    <cfRule type="cellIs" dxfId="597" priority="335" operator="equal">
      <formula>"Muy Alta"</formula>
    </cfRule>
    <cfRule type="cellIs" dxfId="596" priority="336" operator="equal">
      <formula>"Alta"</formula>
    </cfRule>
    <cfRule type="cellIs" dxfId="595" priority="338" operator="equal">
      <formula>"Baja"</formula>
    </cfRule>
    <cfRule type="cellIs" dxfId="594" priority="339" operator="equal">
      <formula>"Muy Baja"</formula>
    </cfRule>
    <cfRule type="cellIs" dxfId="593" priority="337" operator="equal">
      <formula>"Media"</formula>
    </cfRule>
  </conditionalFormatting>
  <conditionalFormatting sqref="Z76:Z83">
    <cfRule type="cellIs" dxfId="592" priority="238" operator="equal">
      <formula>"Baja"</formula>
    </cfRule>
    <cfRule type="cellIs" dxfId="591" priority="239" operator="equal">
      <formula>"Muy Baja"</formula>
    </cfRule>
    <cfRule type="cellIs" dxfId="590" priority="235" operator="equal">
      <formula>"Muy Alta"</formula>
    </cfRule>
    <cfRule type="cellIs" dxfId="589" priority="236" operator="equal">
      <formula>"Alta"</formula>
    </cfRule>
    <cfRule type="cellIs" dxfId="588" priority="237" operator="equal">
      <formula>"Media"</formula>
    </cfRule>
  </conditionalFormatting>
  <conditionalFormatting sqref="Z105:Z112">
    <cfRule type="cellIs" dxfId="587" priority="173" operator="equal">
      <formula>"Alta"</formula>
    </cfRule>
    <cfRule type="cellIs" dxfId="586" priority="175" operator="equal">
      <formula>"Baja"</formula>
    </cfRule>
    <cfRule type="cellIs" dxfId="585" priority="176" operator="equal">
      <formula>"Muy Baja"</formula>
    </cfRule>
    <cfRule type="cellIs" dxfId="584" priority="172" operator="equal">
      <formula>"Muy Alta"</formula>
    </cfRule>
    <cfRule type="cellIs" dxfId="583" priority="174" operator="equal">
      <formula>"Media"</formula>
    </cfRule>
  </conditionalFormatting>
  <conditionalFormatting sqref="Z132:Z137">
    <cfRule type="cellIs" dxfId="582" priority="123" operator="equal">
      <formula>"Media"</formula>
    </cfRule>
    <cfRule type="cellIs" dxfId="581" priority="124" operator="equal">
      <formula>"Baja"</formula>
    </cfRule>
    <cfRule type="cellIs" dxfId="580" priority="122" operator="equal">
      <formula>"Alta"</formula>
    </cfRule>
    <cfRule type="cellIs" dxfId="579" priority="125" operator="equal">
      <formula>"Muy Baja"</formula>
    </cfRule>
    <cfRule type="cellIs" dxfId="578" priority="121" operator="equal">
      <formula>"Muy Alta"</formula>
    </cfRule>
  </conditionalFormatting>
  <conditionalFormatting sqref="Z160:Z162">
    <cfRule type="cellIs" dxfId="577" priority="69" operator="equal">
      <formula>"Muy Alta"</formula>
    </cfRule>
    <cfRule type="cellIs" dxfId="576" priority="70" operator="equal">
      <formula>"Alta"</formula>
    </cfRule>
    <cfRule type="cellIs" dxfId="575" priority="71" operator="equal">
      <formula>"Media"</formula>
    </cfRule>
    <cfRule type="cellIs" dxfId="574" priority="72" operator="equal">
      <formula>"Baja"</formula>
    </cfRule>
    <cfRule type="cellIs" dxfId="573" priority="73" operator="equal">
      <formula>"Muy Baja"</formula>
    </cfRule>
  </conditionalFormatting>
  <conditionalFormatting sqref="Z163:Z166">
    <cfRule type="cellIs" dxfId="572" priority="66" operator="equal">
      <formula>"Media"</formula>
    </cfRule>
    <cfRule type="cellIs" dxfId="571" priority="64" operator="equal">
      <formula>"Muy Alta"</formula>
    </cfRule>
    <cfRule type="cellIs" dxfId="570" priority="67" operator="equal">
      <formula>"Baja"</formula>
    </cfRule>
    <cfRule type="cellIs" dxfId="569" priority="68" operator="equal">
      <formula>"Muy Baja"</formula>
    </cfRule>
    <cfRule type="cellIs" dxfId="568" priority="65" operator="equal">
      <formula>"Alta"</formula>
    </cfRule>
  </conditionalFormatting>
  <conditionalFormatting sqref="Z189:Z190">
    <cfRule type="cellIs" dxfId="567" priority="17" operator="equal">
      <formula>"Alta"</formula>
    </cfRule>
    <cfRule type="cellIs" dxfId="566" priority="16" operator="equal">
      <formula>"Muy Alta"</formula>
    </cfRule>
    <cfRule type="cellIs" dxfId="565" priority="20" operator="equal">
      <formula>"Muy Baja"</formula>
    </cfRule>
    <cfRule type="cellIs" dxfId="564" priority="19" operator="equal">
      <formula>"Baja"</formula>
    </cfRule>
    <cfRule type="cellIs" dxfId="563" priority="18" operator="equal">
      <formula>"Media"</formula>
    </cfRule>
  </conditionalFormatting>
  <conditionalFormatting sqref="Z191:Z192">
    <cfRule type="cellIs" dxfId="562" priority="11" operator="equal">
      <formula>"Muy Alta"</formula>
    </cfRule>
    <cfRule type="cellIs" dxfId="561" priority="13" operator="equal">
      <formula>"Media"</formula>
    </cfRule>
    <cfRule type="cellIs" dxfId="560" priority="12" operator="equal">
      <formula>"Alta"</formula>
    </cfRule>
    <cfRule type="cellIs" dxfId="559" priority="15" operator="equal">
      <formula>"Muy Baja"</formula>
    </cfRule>
    <cfRule type="cellIs" dxfId="558" priority="14" operator="equal">
      <formula>"Baja"</formula>
    </cfRule>
  </conditionalFormatting>
  <conditionalFormatting sqref="AB44:AB53">
    <cfRule type="cellIs" dxfId="557" priority="331" operator="equal">
      <formula>"Moderado"</formula>
    </cfRule>
    <cfRule type="cellIs" dxfId="556" priority="333" operator="equal">
      <formula>"Leve"</formula>
    </cfRule>
    <cfRule type="cellIs" dxfId="555" priority="332" operator="equal">
      <formula>"Menor"</formula>
    </cfRule>
    <cfRule type="cellIs" dxfId="554" priority="330" operator="equal">
      <formula>"Mayor"</formula>
    </cfRule>
    <cfRule type="cellIs" dxfId="553" priority="329" operator="equal">
      <formula>"Catastrófico"</formula>
    </cfRule>
  </conditionalFormatting>
  <conditionalFormatting sqref="AB76:AB83">
    <cfRule type="cellIs" dxfId="552" priority="230" operator="equal">
      <formula>"Mayor"</formula>
    </cfRule>
    <cfRule type="cellIs" dxfId="551" priority="233" operator="equal">
      <formula>"Leve"</formula>
    </cfRule>
    <cfRule type="cellIs" dxfId="550" priority="229" operator="equal">
      <formula>"Catastrófico"</formula>
    </cfRule>
    <cfRule type="cellIs" dxfId="549" priority="232" operator="equal">
      <formula>"Menor"</formula>
    </cfRule>
    <cfRule type="cellIs" dxfId="548" priority="231" operator="equal">
      <formula>"Moderado"</formula>
    </cfRule>
  </conditionalFormatting>
  <conditionalFormatting sqref="AB105:AB112">
    <cfRule type="cellIs" dxfId="547" priority="178" operator="equal">
      <formula>"Mayor"</formula>
    </cfRule>
    <cfRule type="cellIs" dxfId="546" priority="177" operator="equal">
      <formula>"Catastrófico"</formula>
    </cfRule>
    <cfRule type="cellIs" dxfId="545" priority="181" operator="equal">
      <formula>"Leve"</formula>
    </cfRule>
    <cfRule type="cellIs" dxfId="544" priority="180" operator="equal">
      <formula>"Menor"</formula>
    </cfRule>
    <cfRule type="cellIs" dxfId="543" priority="179" operator="equal">
      <formula>"Moderado"</formula>
    </cfRule>
  </conditionalFormatting>
  <conditionalFormatting sqref="AB160:AB162">
    <cfRule type="cellIs" dxfId="542" priority="77" operator="equal">
      <formula>"Menor"</formula>
    </cfRule>
    <cfRule type="cellIs" dxfId="541" priority="78" operator="equal">
      <formula>"Leve"</formula>
    </cfRule>
    <cfRule type="cellIs" dxfId="540" priority="74" operator="equal">
      <formula>"Catastrófico"</formula>
    </cfRule>
    <cfRule type="cellIs" dxfId="539" priority="75" operator="equal">
      <formula>"Mayor"</formula>
    </cfRule>
    <cfRule type="cellIs" dxfId="538" priority="76" operator="equal">
      <formula>"Moderado"</formula>
    </cfRule>
  </conditionalFormatting>
  <conditionalFormatting sqref="AB189:AB190">
    <cfRule type="cellIs" dxfId="537" priority="25" operator="equal">
      <formula>"Leve"</formula>
    </cfRule>
    <cfRule type="cellIs" dxfId="536" priority="24" operator="equal">
      <formula>"Menor"</formula>
    </cfRule>
    <cfRule type="cellIs" dxfId="535" priority="23" operator="equal">
      <formula>"Moderado"</formula>
    </cfRule>
    <cfRule type="cellIs" dxfId="534" priority="22" operator="equal">
      <formula>"Mayor"</formula>
    </cfRule>
    <cfRule type="cellIs" dxfId="533" priority="21" operator="equal">
      <formula>"Catastrófico"</formula>
    </cfRule>
  </conditionalFormatting>
  <conditionalFormatting sqref="AD44:AD53">
    <cfRule type="cellIs" dxfId="532" priority="325" operator="equal">
      <formula>"Extremo"</formula>
    </cfRule>
    <cfRule type="cellIs" dxfId="531" priority="326" operator="equal">
      <formula>"Alto"</formula>
    </cfRule>
    <cfRule type="cellIs" dxfId="530" priority="327" operator="equal">
      <formula>"Moderado"</formula>
    </cfRule>
    <cfRule type="cellIs" dxfId="529" priority="328" operator="equal">
      <formula>"Bajo"</formula>
    </cfRule>
  </conditionalFormatting>
  <conditionalFormatting sqref="AD76:AD83">
    <cfRule type="cellIs" dxfId="528" priority="227" operator="equal">
      <formula>"Moderado"</formula>
    </cfRule>
    <cfRule type="cellIs" dxfId="527" priority="228" operator="equal">
      <formula>"Bajo"</formula>
    </cfRule>
    <cfRule type="cellIs" dxfId="526" priority="225" operator="equal">
      <formula>"Extremo"</formula>
    </cfRule>
    <cfRule type="cellIs" dxfId="525" priority="226" operator="equal">
      <formula>"Alto"</formula>
    </cfRule>
  </conditionalFormatting>
  <conditionalFormatting sqref="AD105:AD112">
    <cfRule type="cellIs" dxfId="524" priority="169" operator="equal">
      <formula>"Alto"</formula>
    </cfRule>
    <cfRule type="cellIs" dxfId="523" priority="170" operator="equal">
      <formula>"Moderado"</formula>
    </cfRule>
    <cfRule type="cellIs" dxfId="522" priority="171" operator="equal">
      <formula>"Bajo"</formula>
    </cfRule>
    <cfRule type="cellIs" dxfId="521" priority="168" operator="equal">
      <formula>"Extremo"</formula>
    </cfRule>
  </conditionalFormatting>
  <conditionalFormatting sqref="AD163:AD166">
    <cfRule type="cellIs" dxfId="520" priority="88" operator="equal">
      <formula>"Extremo"</formula>
    </cfRule>
    <cfRule type="cellIs" dxfId="519" priority="91" operator="equal">
      <formula>"Bajo"</formula>
    </cfRule>
    <cfRule type="cellIs" dxfId="518" priority="90" operator="equal">
      <formula>"Moderado"</formula>
    </cfRule>
    <cfRule type="cellIs" dxfId="517" priority="89" operator="equal">
      <formula>"Alto"</formula>
    </cfRule>
  </conditionalFormatting>
  <conditionalFormatting sqref="AD189:AD190">
    <cfRule type="cellIs" dxfId="516" priority="29" operator="equal">
      <formula>"Bajo"</formula>
    </cfRule>
    <cfRule type="cellIs" dxfId="515" priority="28" operator="equal">
      <formula>"Moderado"</formula>
    </cfRule>
    <cfRule type="cellIs" dxfId="514" priority="27" operator="equal">
      <formula>"Alto"</formula>
    </cfRule>
    <cfRule type="cellIs" dxfId="513" priority="26" operator="equal">
      <formula>"Extremo"</formula>
    </cfRule>
  </conditionalFormatting>
  <conditionalFormatting sqref="AD191:AD192">
    <cfRule type="cellIs" dxfId="512" priority="37" operator="equal">
      <formula>"Moderado"</formula>
    </cfRule>
    <cfRule type="cellIs" dxfId="511" priority="38" operator="equal">
      <formula>"Bajo"</formula>
    </cfRule>
    <cfRule type="cellIs" dxfId="510" priority="36" operator="equal">
      <formula>"Alto"</formula>
    </cfRule>
    <cfRule type="cellIs" dxfId="509" priority="35" operator="equal">
      <formula>"Extremo"</formula>
    </cfRule>
  </conditionalFormatting>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0C9D-3D6A-4E74-B7F6-9FDADC11AF6E}">
  <dimension ref="A1:AK12"/>
  <sheetViews>
    <sheetView topLeftCell="A10" zoomScale="80" zoomScaleNormal="80" workbookViewId="0">
      <selection activeCell="A11" sqref="A11:AK11"/>
    </sheetView>
  </sheetViews>
  <sheetFormatPr baseColWidth="10" defaultRowHeight="15"/>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c r="D5" s="255"/>
      <c r="E5" s="255"/>
      <c r="F5" s="255"/>
      <c r="G5" s="255"/>
      <c r="H5" s="256" t="s">
        <v>7</v>
      </c>
      <c r="I5" s="256"/>
      <c r="J5" s="255"/>
      <c r="K5" s="255"/>
      <c r="L5" s="255"/>
      <c r="M5" s="255"/>
      <c r="N5" s="255"/>
      <c r="O5" s="256" t="s">
        <v>9</v>
      </c>
      <c r="P5" s="256"/>
      <c r="Q5" s="418"/>
      <c r="R5" s="419"/>
      <c r="S5" s="419"/>
      <c r="T5" s="419"/>
      <c r="U5" s="419"/>
      <c r="V5" s="419"/>
      <c r="W5" s="419"/>
      <c r="X5" s="419"/>
      <c r="Y5" s="419"/>
      <c r="Z5" s="419"/>
      <c r="AA5" s="419"/>
      <c r="AB5" s="419"/>
      <c r="AC5" s="419"/>
      <c r="AD5" s="419"/>
      <c r="AE5" s="420"/>
      <c r="AF5" s="152" t="s">
        <v>11</v>
      </c>
      <c r="AG5" s="417"/>
      <c r="AH5" s="417"/>
      <c r="AI5" s="417"/>
      <c r="AJ5" s="417"/>
      <c r="AK5" s="41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315">
      <c r="A9" s="310">
        <v>1</v>
      </c>
      <c r="B9" s="502" t="s">
        <v>345</v>
      </c>
      <c r="C9" s="312" t="s">
        <v>346</v>
      </c>
      <c r="D9" s="312" t="s">
        <v>347</v>
      </c>
      <c r="E9" s="305" t="s">
        <v>348</v>
      </c>
      <c r="F9" s="502" t="s">
        <v>56</v>
      </c>
      <c r="G9" s="502" t="s">
        <v>349</v>
      </c>
      <c r="H9" s="330" t="str">
        <f>IF(G9&lt;=0,"",IF(G9&lt;=2,"Muy Baja",IF(G9&lt;=24,"Baja",IF(G9&lt;=500,"Media",IF(G9&lt;=5000,"Alta","Muy Alta")))))</f>
        <v>Muy Alta</v>
      </c>
      <c r="I9" s="292">
        <f>IF(H9="","",IF(H9="Muy Baja",0.2,IF(H9="Baja",0.4,IF(H9="Media",0.6,IF(H9="Alta",0.8,IF(H9="Muy Alta",1,))))))</f>
        <v>1</v>
      </c>
      <c r="J9" s="507" t="s">
        <v>77</v>
      </c>
      <c r="K9" s="292" t="str">
        <f>IF(NOT(ISERROR(MATCH(J9,'[22]Tabla Impacto'!$B$221:$B$223,0))),'[22]Tabla Impacto'!$F$223&amp;"Por favor no seleccionar los criterios de impacto(Afectación Económica o presupuestal y Pérdida Reputacional)",J9)</f>
        <v xml:space="preserve">     El riesgo afecta la imagen de la entidad con algunos usuarios de relevancia frente al logro de los objetivos</v>
      </c>
      <c r="L9" s="330" t="str">
        <f>IF(OR(K9='[22]Tabla Impacto'!$C$11,K9='[22]Tabla Impacto'!$D$11),"Leve",IF(OR(K9='[22]Tabla Impacto'!$C$12,K9='[22]Tabla Impacto'!$D$12),"Menor",IF(OR(K9='[22]Tabla Impacto'!$C$13,K9='[22]Tabla Impacto'!$D$13),"Moderado",IF(OR(K9='[22]Tabla Impacto'!$C$14,K9='[22]Tabla Impacto'!$D$14),"Mayor",IF(OR(K9='[22]Tabla Impacto'!$C$15,K9='[22]Tabla Impacto'!$D$15),"Catastrófico","")))))</f>
        <v>Moderado</v>
      </c>
      <c r="M9" s="292">
        <f>IF(L9="","",IF(L9="Leve",0.2,IF(L9="Menor",0.4,IF(L9="Moderado",0.6,IF(L9="Mayor",0.8,IF(L9="Catastrófico",1,))))))</f>
        <v>0.6</v>
      </c>
      <c r="N9" s="34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8">
        <v>1</v>
      </c>
      <c r="P9" s="9" t="s">
        <v>350</v>
      </c>
      <c r="Q9" s="10" t="s">
        <v>351</v>
      </c>
      <c r="R9" s="11" t="s">
        <v>19</v>
      </c>
      <c r="S9" s="12" t="s">
        <v>69</v>
      </c>
      <c r="T9" s="12" t="s">
        <v>62</v>
      </c>
      <c r="U9" s="13" t="str">
        <f>IF(AND(S9="Preventivo",T9="Automático"),"50%",IF(AND(S9="Preventivo",T9="Manual"),"40%",IF(AND(S9="Detectivo",T9="Automático"),"40%",IF(AND(S9="Detectivo",T9="Manual"),"30%",IF(AND(S9="Correctivo",T9="Automático"),"35%",IF(AND(S9="Correctivo",T9="Manual"),"25%",""))))))</f>
        <v>30%</v>
      </c>
      <c r="V9" s="12" t="s">
        <v>70</v>
      </c>
      <c r="W9" s="12" t="s">
        <v>64</v>
      </c>
      <c r="X9" s="32" t="s">
        <v>65</v>
      </c>
      <c r="Y9" s="14">
        <f>IFERROR(IF(R9="Probabilidad",(I9-(+I9*U9)),IF(R9="Impacto",I9,"")),"")</f>
        <v>1</v>
      </c>
      <c r="Z9" s="15" t="str">
        <f>IFERROR(IF(Y9="","",IF(Y9&lt;=0.2,"Muy Baja",IF(Y9&lt;=0.4,"Baja",IF(Y9&lt;=0.6,"Media",IF(Y9&lt;=0.8,"Alta","Muy Alta"))))),"")</f>
        <v>Muy Alta</v>
      </c>
      <c r="AA9" s="13">
        <f>+Y9</f>
        <v>1</v>
      </c>
      <c r="AB9" s="15" t="str">
        <f>IFERROR(IF(AC9="","",IF(AC9&lt;=0.2,"Leve",IF(AC9&lt;=0.4,"Menor",IF(AC9&lt;=0.6,"Moderado",IF(AC9&lt;=0.8,"Mayor","Catastrófico"))))),"")</f>
        <v>Moderado</v>
      </c>
      <c r="AC9" s="13">
        <f>IFERROR(IF(R9="Impacto",(M9-(+M9*U9)),IF(R9="Probabilidad",M9,"")),"")</f>
        <v>0.42</v>
      </c>
      <c r="AD9" s="16"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257</v>
      </c>
      <c r="AF9" s="299" t="s">
        <v>352</v>
      </c>
      <c r="AG9" s="299" t="s">
        <v>353</v>
      </c>
      <c r="AH9" s="301">
        <v>45381</v>
      </c>
      <c r="AI9" s="301">
        <v>45657</v>
      </c>
      <c r="AJ9" s="503" t="s">
        <v>354</v>
      </c>
      <c r="AK9" s="505" t="s">
        <v>226</v>
      </c>
    </row>
    <row r="10" spans="1:37" ht="204.75">
      <c r="A10" s="310"/>
      <c r="B10" s="502"/>
      <c r="C10" s="312"/>
      <c r="D10" s="312"/>
      <c r="E10" s="305"/>
      <c r="F10" s="502"/>
      <c r="G10" s="502"/>
      <c r="H10" s="330"/>
      <c r="I10" s="292"/>
      <c r="J10" s="507"/>
      <c r="K10" s="292">
        <f ca="1">IF(NOT(ISERROR(MATCH(J10,_xlfn.ANCHORARRAY(#REF!),0))),#REF!&amp;"Por favor no seleccionar los criterios de impacto",J10)</f>
        <v>0</v>
      </c>
      <c r="L10" s="330"/>
      <c r="M10" s="292"/>
      <c r="N10" s="342"/>
      <c r="O10" s="8">
        <v>2</v>
      </c>
      <c r="P10" s="9" t="s">
        <v>355</v>
      </c>
      <c r="Q10" s="10" t="s">
        <v>351</v>
      </c>
      <c r="R10" s="11" t="s">
        <v>19</v>
      </c>
      <c r="S10" s="12" t="s">
        <v>69</v>
      </c>
      <c r="T10" s="12" t="s">
        <v>62</v>
      </c>
      <c r="U10" s="13" t="str">
        <f t="shared" ref="U10" si="0">IF(AND(S10="Preventivo",T10="Automático"),"50%",IF(AND(S10="Preventivo",T10="Manual"),"40%",IF(AND(S10="Detectivo",T10="Automático"),"40%",IF(AND(S10="Detectivo",T10="Manual"),"30%",IF(AND(S10="Correctivo",T10="Automático"),"35%",IF(AND(S10="Correctivo",T10="Manual"),"25%",""))))))</f>
        <v>30%</v>
      </c>
      <c r="V10" s="12" t="s">
        <v>70</v>
      </c>
      <c r="W10" s="12" t="s">
        <v>64</v>
      </c>
      <c r="X10" s="32" t="s">
        <v>65</v>
      </c>
      <c r="Y10" s="14">
        <f>IFERROR(IF(AND(R9="Probabilidad",R10="Probabilidad"),(AA9-(+AA9*U10)),IF(R10="Probabilidad",(I9-(+I9*U10)),IF(R10="Impacto",AA9,""))),"")</f>
        <v>1</v>
      </c>
      <c r="Z10" s="15" t="str">
        <f t="shared" ref="Z10" si="1">IFERROR(IF(Y10="","",IF(Y10&lt;=0.2,"Muy Baja",IF(Y10&lt;=0.4,"Baja",IF(Y10&lt;=0.6,"Media",IF(Y10&lt;=0.8,"Alta","Muy Alta"))))),"")</f>
        <v>Muy Alta</v>
      </c>
      <c r="AA10" s="13">
        <f t="shared" ref="AA10" si="2">+Y10</f>
        <v>1</v>
      </c>
      <c r="AB10" s="15" t="str">
        <f t="shared" ref="AB10" si="3">IFERROR(IF(AC10="","",IF(AC10&lt;=0.2,"Leve",IF(AC10&lt;=0.4,"Menor",IF(AC10&lt;=0.6,"Moderado",IF(AC10&lt;=0.8,"Mayor","Catastrófico"))))),"")</f>
        <v>Menor</v>
      </c>
      <c r="AC10" s="13">
        <f>IFERROR(IF(AND(R9="Impacto",R10="Impacto"),(AC9-(+AC9*U10)),IF(R10="Impacto",($M$9-(+$M$9*U10)),IF(R10="Probabilidad",AC9,""))),"")</f>
        <v>0.29399999999999998</v>
      </c>
      <c r="AD10" s="16" t="str">
        <f t="shared" ref="AD10" si="4">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257</v>
      </c>
      <c r="AF10" s="300"/>
      <c r="AG10" s="300"/>
      <c r="AH10" s="302"/>
      <c r="AI10" s="302"/>
      <c r="AJ10" s="504"/>
      <c r="AK10" s="506"/>
    </row>
    <row r="11" spans="1:37">
      <c r="A11" s="228" t="s">
        <v>97</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30"/>
    </row>
    <row r="12" spans="1:37">
      <c r="A12" s="28"/>
      <c r="B12" s="29" t="s">
        <v>98</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row>
  </sheetData>
  <mergeCells count="71">
    <mergeCell ref="A11:AK11"/>
    <mergeCell ref="AF9:AF10"/>
    <mergeCell ref="AG9:AG10"/>
    <mergeCell ref="AH9:AH10"/>
    <mergeCell ref="AI9:AI10"/>
    <mergeCell ref="AJ9:AJ10"/>
    <mergeCell ref="AK9:AK10"/>
    <mergeCell ref="I9:I10"/>
    <mergeCell ref="J9:J10"/>
    <mergeCell ref="K9:K10"/>
    <mergeCell ref="L9:L10"/>
    <mergeCell ref="M9:M10"/>
    <mergeCell ref="N9:N10"/>
    <mergeCell ref="I7:I8"/>
    <mergeCell ref="A7:A8"/>
    <mergeCell ref="B7:B8"/>
    <mergeCell ref="AJ7:AJ8"/>
    <mergeCell ref="AK7:AK8"/>
    <mergeCell ref="AE7:AE8"/>
    <mergeCell ref="AF7:AF8"/>
    <mergeCell ref="AG7:AG8"/>
    <mergeCell ref="AH7:AH8"/>
    <mergeCell ref="AI7:AI8"/>
    <mergeCell ref="F9:F10"/>
    <mergeCell ref="G9:G10"/>
    <mergeCell ref="H9:H10"/>
    <mergeCell ref="G7:G8"/>
    <mergeCell ref="H7:H8"/>
    <mergeCell ref="A9:A10"/>
    <mergeCell ref="B9:B10"/>
    <mergeCell ref="C9:C10"/>
    <mergeCell ref="D9:D10"/>
    <mergeCell ref="E9:E10"/>
    <mergeCell ref="H5:I5"/>
    <mergeCell ref="J5:N5"/>
    <mergeCell ref="O5:P5"/>
    <mergeCell ref="Q5:AE5"/>
    <mergeCell ref="Q7:Q8"/>
    <mergeCell ref="AD7:AD8"/>
    <mergeCell ref="S7:X7"/>
    <mergeCell ref="Y7:Y8"/>
    <mergeCell ref="Z7:Z8"/>
    <mergeCell ref="AA7:AA8"/>
    <mergeCell ref="AB7:AB8"/>
    <mergeCell ref="AC7:AC8"/>
    <mergeCell ref="R7:R8"/>
    <mergeCell ref="J7:J8"/>
    <mergeCell ref="K7:K8"/>
    <mergeCell ref="L7:L8"/>
    <mergeCell ref="AH1:AK1"/>
    <mergeCell ref="E2:AG3"/>
    <mergeCell ref="AH2:AK2"/>
    <mergeCell ref="AH3:AK3"/>
    <mergeCell ref="A1:D3"/>
    <mergeCell ref="E1:AG1"/>
    <mergeCell ref="C7:C8"/>
    <mergeCell ref="D7:D8"/>
    <mergeCell ref="E7:E8"/>
    <mergeCell ref="F7:F8"/>
    <mergeCell ref="AG5:AK5"/>
    <mergeCell ref="A6:G6"/>
    <mergeCell ref="H6:N6"/>
    <mergeCell ref="O6:X6"/>
    <mergeCell ref="Y6:AE6"/>
    <mergeCell ref="AF6:AK6"/>
    <mergeCell ref="M7:M8"/>
    <mergeCell ref="N7:N8"/>
    <mergeCell ref="O7:O8"/>
    <mergeCell ref="P7:P8"/>
    <mergeCell ref="A5:B5"/>
    <mergeCell ref="C5:G5"/>
  </mergeCells>
  <conditionalFormatting sqref="H9">
    <cfRule type="cellIs" dxfId="274" priority="83" operator="equal">
      <formula>"Muy Alta"</formula>
    </cfRule>
    <cfRule type="cellIs" dxfId="273" priority="84" operator="equal">
      <formula>"Alta"</formula>
    </cfRule>
    <cfRule type="cellIs" dxfId="272" priority="85" operator="equal">
      <formula>"Media"</formula>
    </cfRule>
    <cfRule type="cellIs" dxfId="271" priority="86" operator="equal">
      <formula>"Baja"</formula>
    </cfRule>
    <cfRule type="cellIs" dxfId="270" priority="87" operator="equal">
      <formula>"Muy Baja"</formula>
    </cfRule>
  </conditionalFormatting>
  <conditionalFormatting sqref="K9:K10">
    <cfRule type="containsText" dxfId="269" priority="1" operator="containsText" text="❌">
      <formula>NOT(ISERROR(SEARCH("❌",K9)))</formula>
    </cfRule>
  </conditionalFormatting>
  <conditionalFormatting sqref="L9">
    <cfRule type="cellIs" dxfId="268" priority="63" operator="equal">
      <formula>"Catastrófico"</formula>
    </cfRule>
    <cfRule type="cellIs" dxfId="267" priority="64" operator="equal">
      <formula>"Mayor"</formula>
    </cfRule>
    <cfRule type="cellIs" dxfId="266" priority="65" operator="equal">
      <formula>"Moderado"</formula>
    </cfRule>
    <cfRule type="cellIs" dxfId="265" priority="66" operator="equal">
      <formula>"Menor"</formula>
    </cfRule>
    <cfRule type="cellIs" dxfId="264" priority="67" operator="equal">
      <formula>"Leve"</formula>
    </cfRule>
  </conditionalFormatting>
  <conditionalFormatting sqref="N9">
    <cfRule type="cellIs" dxfId="263" priority="59" operator="equal">
      <formula>"Extremo"</formula>
    </cfRule>
    <cfRule type="cellIs" dxfId="262" priority="60" operator="equal">
      <formula>"Alto"</formula>
    </cfRule>
    <cfRule type="cellIs" dxfId="261" priority="61" operator="equal">
      <formula>"Moderado"</formula>
    </cfRule>
    <cfRule type="cellIs" dxfId="260" priority="62" operator="equal">
      <formula>"Bajo"</formula>
    </cfRule>
  </conditionalFormatting>
  <conditionalFormatting sqref="Z9:Z10">
    <cfRule type="cellIs" dxfId="259" priority="11" operator="equal">
      <formula>"Muy Alta"</formula>
    </cfRule>
    <cfRule type="cellIs" dxfId="258" priority="12" operator="equal">
      <formula>"Alta"</formula>
    </cfRule>
    <cfRule type="cellIs" dxfId="257" priority="13" operator="equal">
      <formula>"Media"</formula>
    </cfRule>
    <cfRule type="cellIs" dxfId="256" priority="14" operator="equal">
      <formula>"Baja"</formula>
    </cfRule>
    <cfRule type="cellIs" dxfId="255" priority="15" operator="equal">
      <formula>"Muy Baja"</formula>
    </cfRule>
  </conditionalFormatting>
  <conditionalFormatting sqref="AB9:AB10">
    <cfRule type="cellIs" dxfId="254" priority="6" operator="equal">
      <formula>"Catastrófico"</formula>
    </cfRule>
    <cfRule type="cellIs" dxfId="253" priority="7" operator="equal">
      <formula>"Mayor"</formula>
    </cfRule>
    <cfRule type="cellIs" dxfId="252" priority="8" operator="equal">
      <formula>"Moderado"</formula>
    </cfRule>
    <cfRule type="cellIs" dxfId="251" priority="9" operator="equal">
      <formula>"Menor"</formula>
    </cfRule>
    <cfRule type="cellIs" dxfId="250" priority="10" operator="equal">
      <formula>"Leve"</formula>
    </cfRule>
  </conditionalFormatting>
  <conditionalFormatting sqref="AD9:AD10">
    <cfRule type="cellIs" dxfId="249" priority="2" operator="equal">
      <formula>"Extremo"</formula>
    </cfRule>
    <cfRule type="cellIs" dxfId="248" priority="3" operator="equal">
      <formula>"Alto"</formula>
    </cfRule>
    <cfRule type="cellIs" dxfId="247" priority="4" operator="equal">
      <formula>"Moderado"</formula>
    </cfRule>
    <cfRule type="cellIs" dxfId="246" priority="5" operator="equal">
      <formula>"Bajo"</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5B40-0956-4EFE-BE28-938BF1AE1D68}">
  <sheetPr>
    <tabColor rgb="FF7030A0"/>
  </sheetPr>
  <dimension ref="A1:AK17"/>
  <sheetViews>
    <sheetView topLeftCell="A11" zoomScale="80" zoomScaleNormal="80" workbookViewId="0">
      <selection activeCell="F12" sqref="F12:F13"/>
    </sheetView>
  </sheetViews>
  <sheetFormatPr baseColWidth="10" defaultRowHeight="15"/>
  <cols>
    <col min="5" max="5" width="49.42578125" customWidth="1"/>
    <col min="16" max="16" width="34.140625"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514" t="s">
        <v>5</v>
      </c>
      <c r="B5" s="514"/>
      <c r="C5" s="314" t="s">
        <v>331</v>
      </c>
      <c r="D5" s="314"/>
      <c r="E5" s="314"/>
      <c r="F5" s="314"/>
      <c r="G5" s="314"/>
      <c r="H5" s="510" t="s">
        <v>7</v>
      </c>
      <c r="I5" s="510"/>
      <c r="J5" s="314" t="s">
        <v>356</v>
      </c>
      <c r="K5" s="314"/>
      <c r="L5" s="314"/>
      <c r="M5" s="314"/>
      <c r="N5" s="314"/>
      <c r="O5" s="510" t="s">
        <v>9</v>
      </c>
      <c r="P5" s="510"/>
      <c r="Q5" s="511" t="s">
        <v>357</v>
      </c>
      <c r="R5" s="512"/>
      <c r="S5" s="512"/>
      <c r="T5" s="512"/>
      <c r="U5" s="512"/>
      <c r="V5" s="512"/>
      <c r="W5" s="512"/>
      <c r="X5" s="512"/>
      <c r="Y5" s="512"/>
      <c r="Z5" s="512"/>
      <c r="AA5" s="512"/>
      <c r="AB5" s="512"/>
      <c r="AC5" s="512"/>
      <c r="AD5" s="512"/>
      <c r="AE5" s="513"/>
      <c r="AF5" s="153" t="s">
        <v>11</v>
      </c>
      <c r="AG5" s="509" t="s">
        <v>358</v>
      </c>
      <c r="AH5" s="509"/>
      <c r="AI5" s="509"/>
      <c r="AJ5" s="509"/>
      <c r="AK5" s="509"/>
    </row>
    <row r="6" spans="1:37">
      <c r="A6" s="246" t="s">
        <v>13</v>
      </c>
      <c r="B6" s="246"/>
      <c r="C6" s="246"/>
      <c r="D6" s="246"/>
      <c r="E6" s="246"/>
      <c r="F6" s="246"/>
      <c r="G6" s="246"/>
      <c r="H6" s="247" t="s">
        <v>14</v>
      </c>
      <c r="I6" s="247"/>
      <c r="J6" s="247"/>
      <c r="K6" s="247"/>
      <c r="L6" s="247"/>
      <c r="M6" s="247"/>
      <c r="N6" s="247"/>
      <c r="O6" s="237" t="s">
        <v>15</v>
      </c>
      <c r="P6" s="237"/>
      <c r="Q6" s="237"/>
      <c r="R6" s="237"/>
      <c r="S6" s="237"/>
      <c r="T6" s="237"/>
      <c r="U6" s="237"/>
      <c r="V6" s="237"/>
      <c r="W6" s="237"/>
      <c r="X6" s="237"/>
      <c r="Y6" s="508" t="s">
        <v>16</v>
      </c>
      <c r="Z6" s="508"/>
      <c r="AA6" s="508"/>
      <c r="AB6" s="508"/>
      <c r="AC6" s="508"/>
      <c r="AD6" s="508"/>
      <c r="AE6" s="508"/>
      <c r="AF6" s="250" t="s">
        <v>17</v>
      </c>
      <c r="AG6" s="250"/>
      <c r="AH6" s="250"/>
      <c r="AI6" s="250"/>
      <c r="AJ6" s="250"/>
      <c r="AK6" s="250"/>
    </row>
    <row r="7" spans="1:37" ht="15" customHeight="1">
      <c r="A7" s="404" t="s">
        <v>18</v>
      </c>
      <c r="B7" s="246" t="s">
        <v>19</v>
      </c>
      <c r="C7" s="246" t="s">
        <v>20</v>
      </c>
      <c r="D7" s="246" t="s">
        <v>21</v>
      </c>
      <c r="E7" s="246" t="s">
        <v>22</v>
      </c>
      <c r="F7" s="515" t="s">
        <v>23</v>
      </c>
      <c r="G7" s="515" t="s">
        <v>24</v>
      </c>
      <c r="H7" s="247" t="s">
        <v>25</v>
      </c>
      <c r="I7" s="247" t="s">
        <v>26</v>
      </c>
      <c r="J7" s="247" t="s">
        <v>27</v>
      </c>
      <c r="K7" s="247" t="s">
        <v>28</v>
      </c>
      <c r="L7" s="247" t="s">
        <v>29</v>
      </c>
      <c r="M7" s="247"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74.25" customHeight="1">
      <c r="A8" s="404"/>
      <c r="B8" s="246"/>
      <c r="C8" s="246"/>
      <c r="D8" s="246"/>
      <c r="E8" s="246"/>
      <c r="F8" s="516"/>
      <c r="G8" s="516"/>
      <c r="H8" s="247"/>
      <c r="I8" s="247"/>
      <c r="J8" s="247"/>
      <c r="K8" s="247"/>
      <c r="L8" s="247"/>
      <c r="M8" s="247"/>
      <c r="N8" s="247"/>
      <c r="O8" s="249"/>
      <c r="P8" s="237"/>
      <c r="Q8" s="252"/>
      <c r="R8" s="237"/>
      <c r="S8" s="31" t="s">
        <v>46</v>
      </c>
      <c r="T8" s="31" t="s">
        <v>47</v>
      </c>
      <c r="U8" s="31" t="s">
        <v>48</v>
      </c>
      <c r="V8" s="31" t="s">
        <v>49</v>
      </c>
      <c r="W8" s="31" t="s">
        <v>50</v>
      </c>
      <c r="X8" s="31" t="s">
        <v>51</v>
      </c>
      <c r="Y8" s="236"/>
      <c r="Z8" s="236"/>
      <c r="AA8" s="236"/>
      <c r="AB8" s="236"/>
      <c r="AC8" s="236"/>
      <c r="AD8" s="236"/>
      <c r="AE8" s="236"/>
      <c r="AF8" s="250"/>
      <c r="AG8" s="250"/>
      <c r="AH8" s="250"/>
      <c r="AI8" s="250"/>
      <c r="AJ8" s="250"/>
      <c r="AK8" s="250"/>
    </row>
    <row r="9" spans="1:37" ht="89.25">
      <c r="A9" s="488">
        <v>1</v>
      </c>
      <c r="B9" s="273" t="s">
        <v>52</v>
      </c>
      <c r="C9" s="273" t="s">
        <v>359</v>
      </c>
      <c r="D9" s="273" t="s">
        <v>360</v>
      </c>
      <c r="E9" s="521" t="s">
        <v>361</v>
      </c>
      <c r="F9" s="273" t="s">
        <v>56</v>
      </c>
      <c r="G9" s="273" t="s">
        <v>85</v>
      </c>
      <c r="H9" s="275" t="str">
        <f>IF(G9="","",IF('[23]Mapa final'!G9='[23]Tabla probabilidad'!$C$4,"MUY BAJA",IF('[23]Mapa final'!G9='[23]Tabla probabilidad'!$C$5,"BAJA",IF('[23]Mapa final'!G9='[23]Tabla probabilidad'!$C$6,"MEDIA",IF('[23]Mapa final'!G9='[23]Tabla probabilidad'!$C$7,"ALTA",IF('[23]Mapa final'!G9='[23]Tabla probabilidad'!$C$8,"MUY ALTA"))))))</f>
        <v>BAJA</v>
      </c>
      <c r="I9" s="277">
        <f>IF(H9="","",IF(H9="Muy Baja",0.2,IF(H9="Baja",0.4,IF(H9="Media",0.6,IF(H9="Alta",0.8,IF(H9="Muy Alta",1,))))))</f>
        <v>0.4</v>
      </c>
      <c r="J9" s="279" t="s">
        <v>362</v>
      </c>
      <c r="K9" s="277" t="str">
        <f>IF(J9="","",IF(NOT(ISERROR(MATCH(J9,'[23]Tabla Impacto'!$B$37:$B$39,0))),'[23]Tabla Impacto'!$F$37&amp;"Por favor no seleccionar los criterios de impacto(Afectación Económica o presupuestal y Pérdida Reputacional)",J9))</f>
        <v xml:space="preserve">     Genera medianas consecuencias sobre la entidad</v>
      </c>
      <c r="L9" s="275" t="str">
        <f>IF(OR(J9='[23]Tabla Impacto'!$F$25,J9='[23]Tabla Impacto'!$F$31),"Leve",IF(OR(J9='[23]Tabla Impacto'!$F$26,J9='[23]Tabla Impacto'!$F$32),"Menor",IF(OR(J9='[23]Tabla Impacto'!$F$27,J9='[23]Tabla Impacto'!$F$33,J9='[23]Tabla Impacto'!$F$37),"Moderado",IF(OR(J9='[23]Tabla Impacto'!$F$28,J9='[23]Tabla Impacto'!$F$34,J9='[23]Tabla Impacto'!$F$38),"Mayor",IF(OR(J9='[23]Tabla Impacto'!$F$29,J9='[23]Tabla Impacto'!$F$35,J9='[23]Tabla Impacto'!$F$39),"Catastrófico","")))))</f>
        <v>Moderado</v>
      </c>
      <c r="M9" s="277">
        <f>IF(L9="","",IF(L9="Leve",0.2,IF(L9="Menor",0.4,IF(L9="Moderado",0.6,IF(L9="Mayor",0.8,IF(L9="Catastrófico",1,))))))</f>
        <v>0.6</v>
      </c>
      <c r="N9" s="27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42">
        <v>1</v>
      </c>
      <c r="P9" s="24" t="s">
        <v>363</v>
      </c>
      <c r="Q9" s="24" t="s">
        <v>364</v>
      </c>
      <c r="R9" s="142" t="str">
        <f t="shared" ref="R9:R13" si="0">IF(OR(S9="Preventivo",S9="Detectivo"),"Probabilidad",IF(S9="Correctivo","Impacto",""))</f>
        <v>Probabilidad</v>
      </c>
      <c r="S9" s="18" t="s">
        <v>61</v>
      </c>
      <c r="T9" s="18" t="s">
        <v>62</v>
      </c>
      <c r="U9" s="20" t="str">
        <f>IF(AND(S9="Preventivo",T9="Automático"),"50%",IF(AND(S9="Preventivo",T9="Manual"),"40%",IF(AND(S9="Detectivo",T9="Automático"),"40%",IF(AND(S9="Detectivo",T9="Manual"),"30%",IF(AND(S9="Correctivo",T9="Automático"),"35%",IF(AND(S9="Correctivo",T9="Manual"),"25%",""))))))</f>
        <v>40%</v>
      </c>
      <c r="V9" s="18" t="s">
        <v>70</v>
      </c>
      <c r="W9" s="18" t="s">
        <v>64</v>
      </c>
      <c r="X9" s="18" t="s">
        <v>65</v>
      </c>
      <c r="Y9" s="143">
        <f>IFERROR(IF(R9="Probabilidad",(I9-(+I9*U9)),IF(R9="Impacto",I9,"")),"")</f>
        <v>0.24</v>
      </c>
      <c r="Z9" s="19" t="str">
        <f>IFERROR(IF(Y9="","",IF(Y9&lt;=0.2,"Muy Baja",IF(Y9&lt;=0.4,"Baja",IF(Y9&lt;=0.6,"Media",IF(Y9&lt;=0.8,"Alta","Muy Alta"))))),"")</f>
        <v>Baja</v>
      </c>
      <c r="AA9" s="20">
        <f>+Y9</f>
        <v>0.24</v>
      </c>
      <c r="AB9" s="19" t="str">
        <f>IFERROR(IF(AC9="","",IF(AC9&lt;=0.2,"Leve",IF(AC9&lt;=0.4,"Menor",IF(AC9&lt;=0.6,"Moderado",IF(AC9&lt;=0.8,"Mayor","Catastrófico"))))),"")</f>
        <v>Moderado</v>
      </c>
      <c r="AC9" s="20">
        <f>IFERROR(IF(R9="Impacto",(M9-(+M9*U9)),IF(R9="Probabilidad",M9,"")),"")</f>
        <v>0.6</v>
      </c>
      <c r="AD9" s="19"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221</v>
      </c>
      <c r="AF9" s="144"/>
      <c r="AG9" s="144" t="s">
        <v>365</v>
      </c>
      <c r="AH9" s="144" t="s">
        <v>366</v>
      </c>
      <c r="AI9" s="144" t="s">
        <v>367</v>
      </c>
      <c r="AJ9" s="144"/>
      <c r="AK9" s="18" t="s">
        <v>226</v>
      </c>
    </row>
    <row r="10" spans="1:37" ht="89.25">
      <c r="A10" s="519"/>
      <c r="B10" s="520"/>
      <c r="C10" s="520"/>
      <c r="D10" s="520"/>
      <c r="E10" s="522"/>
      <c r="F10" s="520"/>
      <c r="G10" s="520"/>
      <c r="H10" s="518"/>
      <c r="I10" s="517"/>
      <c r="J10" s="524"/>
      <c r="K10" s="517"/>
      <c r="L10" s="518"/>
      <c r="M10" s="517"/>
      <c r="N10" s="518"/>
      <c r="O10" s="142">
        <v>2</v>
      </c>
      <c r="P10" s="24" t="s">
        <v>368</v>
      </c>
      <c r="Q10" s="24" t="s">
        <v>369</v>
      </c>
      <c r="R10" s="142" t="str">
        <f t="shared" si="0"/>
        <v>Probabilidad</v>
      </c>
      <c r="S10" s="18" t="s">
        <v>61</v>
      </c>
      <c r="T10" s="18" t="s">
        <v>62</v>
      </c>
      <c r="U10" s="20" t="str">
        <f t="shared" ref="U10:U11" si="1">IF(AND(S10="Preventivo",T10="Automático"),"50%",IF(AND(S10="Preventivo",T10="Manual"),"40%",IF(AND(S10="Detectivo",T10="Automático"),"40%",IF(AND(S10="Detectivo",T10="Manual"),"30%",IF(AND(S10="Correctivo",T10="Automático"),"35%",IF(AND(S10="Correctivo",T10="Manual"),"25%",""))))))</f>
        <v>40%</v>
      </c>
      <c r="V10" s="18" t="s">
        <v>70</v>
      </c>
      <c r="W10" s="18" t="s">
        <v>64</v>
      </c>
      <c r="X10" s="18" t="s">
        <v>65</v>
      </c>
      <c r="Y10" s="143">
        <f t="shared" ref="Y10:Y13" si="2">IFERROR(IF(R10="Probabilidad",(I10-(+I10*U10)),IF(R10="Impacto",I10,"")),"")</f>
        <v>0</v>
      </c>
      <c r="Z10" s="19" t="str">
        <f t="shared" ref="Z10:Z11" si="3">IFERROR(IF(Y10="","",IF(Y10&lt;=0.2,"Muy Baja",IF(Y10&lt;=0.4,"Baja",IF(Y10&lt;=0.6,"Media",IF(Y10&lt;=0.8,"Alta","Muy Alta"))))),"")</f>
        <v>Muy Baja</v>
      </c>
      <c r="AA10" s="20">
        <f t="shared" ref="AA10:AA11" si="4">+Y10</f>
        <v>0</v>
      </c>
      <c r="AB10" s="19" t="str">
        <f t="shared" ref="AB10:AB11" si="5">IFERROR(IF(AC10="","",IF(AC10&lt;=0.2,"Leve",IF(AC10&lt;=0.4,"Menor",IF(AC10&lt;=0.6,"Moderado",IF(AC10&lt;=0.8,"Mayor","Catastrófico"))))),"")</f>
        <v>Leve</v>
      </c>
      <c r="AC10" s="20">
        <f t="shared" ref="AC10:AC13" si="6">IFERROR(IF(R10="Impacto",(M10-(+M10*U10)),IF(R10="Probabilidad",M10,"")),"")</f>
        <v>0</v>
      </c>
      <c r="AD10" s="19" t="str">
        <f t="shared" ref="AD10:AD11"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221</v>
      </c>
      <c r="AF10" s="145"/>
      <c r="AG10" s="144" t="s">
        <v>370</v>
      </c>
      <c r="AH10" s="145" t="s">
        <v>371</v>
      </c>
      <c r="AI10" s="144" t="s">
        <v>367</v>
      </c>
      <c r="AJ10" s="145"/>
      <c r="AK10" s="18" t="s">
        <v>226</v>
      </c>
    </row>
    <row r="11" spans="1:37" ht="182.25" customHeight="1">
      <c r="A11" s="489"/>
      <c r="B11" s="274"/>
      <c r="C11" s="274"/>
      <c r="D11" s="274"/>
      <c r="E11" s="523"/>
      <c r="F11" s="274"/>
      <c r="G11" s="274"/>
      <c r="H11" s="276"/>
      <c r="I11" s="278"/>
      <c r="J11" s="280"/>
      <c r="K11" s="278"/>
      <c r="L11" s="276"/>
      <c r="M11" s="278"/>
      <c r="N11" s="276"/>
      <c r="O11" s="142">
        <v>3</v>
      </c>
      <c r="P11" s="24" t="s">
        <v>372</v>
      </c>
      <c r="Q11" s="146" t="s">
        <v>373</v>
      </c>
      <c r="R11" s="147" t="s">
        <v>186</v>
      </c>
      <c r="S11" s="18" t="s">
        <v>61</v>
      </c>
      <c r="T11" s="18" t="s">
        <v>62</v>
      </c>
      <c r="U11" s="20" t="str">
        <f t="shared" si="1"/>
        <v>40%</v>
      </c>
      <c r="V11" s="18" t="s">
        <v>70</v>
      </c>
      <c r="W11" s="18" t="s">
        <v>64</v>
      </c>
      <c r="X11" s="18" t="s">
        <v>65</v>
      </c>
      <c r="Y11" s="143">
        <f t="shared" si="2"/>
        <v>0</v>
      </c>
      <c r="Z11" s="19" t="str">
        <f t="shared" si="3"/>
        <v>Muy Baja</v>
      </c>
      <c r="AA11" s="20">
        <f t="shared" si="4"/>
        <v>0</v>
      </c>
      <c r="AB11" s="19" t="str">
        <f t="shared" si="5"/>
        <v>Leve</v>
      </c>
      <c r="AC11" s="20">
        <f t="shared" si="6"/>
        <v>0</v>
      </c>
      <c r="AD11" s="19" t="str">
        <f t="shared" si="7"/>
        <v>Bajo</v>
      </c>
      <c r="AE11" s="18" t="s">
        <v>221</v>
      </c>
      <c r="AF11" s="145"/>
      <c r="AG11" s="144" t="s">
        <v>374</v>
      </c>
      <c r="AH11" s="148">
        <v>11383</v>
      </c>
      <c r="AI11" s="144" t="s">
        <v>367</v>
      </c>
      <c r="AJ11" s="145"/>
      <c r="AK11" s="18" t="s">
        <v>226</v>
      </c>
    </row>
    <row r="12" spans="1:37" ht="75">
      <c r="A12" s="488">
        <v>3</v>
      </c>
      <c r="B12" s="273" t="s">
        <v>140</v>
      </c>
      <c r="C12" s="273" t="s">
        <v>375</v>
      </c>
      <c r="D12" s="273" t="s">
        <v>376</v>
      </c>
      <c r="E12" s="521" t="s">
        <v>377</v>
      </c>
      <c r="F12" s="273" t="s">
        <v>602</v>
      </c>
      <c r="G12" s="273" t="s">
        <v>57</v>
      </c>
      <c r="H12" s="275" t="str">
        <f>IF(G12="","",IF('[23]Mapa final'!G13='[23]Tabla probabilidad'!$C$4,"MUY BAJA",IF('[23]Mapa final'!G13='[23]Tabla probabilidad'!$C$5,"BAJA",IF('[23]Mapa final'!G13='[23]Tabla probabilidad'!$C$6,"MEDIA",IF('[23]Mapa final'!G13='[23]Tabla probabilidad'!$C$7,"ALTA",IF('[23]Mapa final'!G13='[23]Tabla probabilidad'!$C$8,"MUY ALTA"))))))</f>
        <v>MEDIA</v>
      </c>
      <c r="I12" s="277">
        <f t="shared" ref="I12" si="8">IF(H12="","",IF(H12="Muy Baja",0.2,IF(H12="Baja",0.4,IF(H12="Media",0.6,IF(H12="Alta",0.8,IF(H12="Muy Alta",1,))))))</f>
        <v>0.6</v>
      </c>
      <c r="J12" s="279" t="s">
        <v>316</v>
      </c>
      <c r="K12" s="20" t="str">
        <f>IF(J12="","",IF(NOT(ISERROR(MATCH(J12,'[23]Tabla Impacto'!$B$37:$B$39,0))),'[23]Tabla Impacto'!$F$37&amp;"Por favor no seleccionar los criterios de impacto(Afectación Económica o presupuestal y Pérdida Reputacional)",J12))</f>
        <v xml:space="preserve">     Genera altas consecuencias sobre la entidad</v>
      </c>
      <c r="L12" s="275" t="str">
        <f>IF(OR(J12='[23]Tabla Impacto'!$F$25,J12='[23]Tabla Impacto'!$F$31),"Leve",IF(OR(J12='[23]Tabla Impacto'!$F$26,J12='[23]Tabla Impacto'!$F$32),"Menor",IF(OR(J12='[23]Tabla Impacto'!$F$27,J12='[23]Tabla Impacto'!$F$33,J12='[23]Tabla Impacto'!$F$37),"Moderado",IF(OR(J12='[23]Tabla Impacto'!$F$28,J12='[23]Tabla Impacto'!$F$34,J12='[23]Tabla Impacto'!$F$38),"Mayor",IF(OR(J12='[23]Tabla Impacto'!$F$29,J12='[23]Tabla Impacto'!$F$35,J12='[23]Tabla Impacto'!$F$39),"Catastrófico","")))))</f>
        <v>Mayor</v>
      </c>
      <c r="M12" s="277">
        <f t="shared" ref="M12" si="9">IF(L12="","",IF(L12="Leve",0.2,IF(L12="Menor",0.4,IF(L12="Moderado",0.6,IF(L12="Mayor",0.8,IF(L12="Catastrófico",1,))))))</f>
        <v>0.8</v>
      </c>
      <c r="N12" s="275" t="str">
        <f t="shared" ref="N12" si="10">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42">
        <v>1</v>
      </c>
      <c r="P12" s="24" t="s">
        <v>378</v>
      </c>
      <c r="Q12" s="24" t="s">
        <v>379</v>
      </c>
      <c r="R12" s="142" t="str">
        <f t="shared" si="0"/>
        <v>Probabilidad</v>
      </c>
      <c r="S12" s="18" t="s">
        <v>61</v>
      </c>
      <c r="T12" s="18" t="s">
        <v>62</v>
      </c>
      <c r="U12" s="20" t="str">
        <f>IF(AND(S12="Preventivo",T12="Automático"),"50%",IF(AND(S12="Preventivo",T12="Manual"),"40%",IF(AND(S12="Detectivo",T12="Automático"),"40%",IF(AND(S12="Detectivo",T12="Manual"),"30%",IF(AND(S12="Correctivo",T12="Automático"),"35%",IF(AND(S12="Correctivo",T12="Manual"),"25%",""))))))</f>
        <v>40%</v>
      </c>
      <c r="V12" s="18" t="s">
        <v>70</v>
      </c>
      <c r="W12" s="18" t="s">
        <v>123</v>
      </c>
      <c r="X12" s="18" t="s">
        <v>65</v>
      </c>
      <c r="Y12" s="143">
        <f t="shared" si="2"/>
        <v>0.36</v>
      </c>
      <c r="Z12" s="19" t="str">
        <f>IFERROR(IF(Y12="","",IF(Y12&lt;=0.2,"Muy Baja",IF(Y12&lt;=0.4,"Baja",IF(Y12&lt;=0.6,"Media",IF(Y12&lt;=0.8,"Alta","Muy Alta"))))),"")</f>
        <v>Baja</v>
      </c>
      <c r="AA12" s="20">
        <f>+Y12</f>
        <v>0.36</v>
      </c>
      <c r="AB12" s="19" t="str">
        <f>IFERROR(IF(AC12="","",IF(AC12&lt;=0.2,"Leve",IF(AC12&lt;=0.4,"Menor",IF(AC12&lt;=0.6,"Moderado",IF(AC12&lt;=0.8,"Mayor","Catastrófico"))))),"")</f>
        <v>Mayor</v>
      </c>
      <c r="AC12" s="20">
        <f t="shared" si="6"/>
        <v>0.8</v>
      </c>
      <c r="AD12" s="19"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Alto</v>
      </c>
      <c r="AE12" s="18" t="s">
        <v>66</v>
      </c>
      <c r="AF12" s="145"/>
      <c r="AG12" s="144" t="s">
        <v>380</v>
      </c>
      <c r="AH12" s="145" t="s">
        <v>371</v>
      </c>
      <c r="AI12" s="144" t="s">
        <v>367</v>
      </c>
      <c r="AJ12" s="145"/>
      <c r="AK12" s="18" t="s">
        <v>226</v>
      </c>
    </row>
    <row r="13" spans="1:37" ht="66">
      <c r="A13" s="489"/>
      <c r="B13" s="274"/>
      <c r="C13" s="274"/>
      <c r="D13" s="274"/>
      <c r="E13" s="523"/>
      <c r="F13" s="274"/>
      <c r="G13" s="274"/>
      <c r="H13" s="276"/>
      <c r="I13" s="278"/>
      <c r="J13" s="280"/>
      <c r="K13" s="20">
        <f ca="1">IF(NOT(ISERROR(MATCH(J13,_xlfn.ANCHORARRAY(#REF!),0))),#REF!&amp;"Por favor no seleccionar los criterios de impacto",J13)</f>
        <v>0</v>
      </c>
      <c r="L13" s="276"/>
      <c r="M13" s="278"/>
      <c r="N13" s="276"/>
      <c r="O13" s="142">
        <v>2</v>
      </c>
      <c r="P13" s="24" t="s">
        <v>381</v>
      </c>
      <c r="Q13" s="24" t="s">
        <v>382</v>
      </c>
      <c r="R13" s="142" t="str">
        <f t="shared" si="0"/>
        <v>Probabilidad</v>
      </c>
      <c r="S13" s="18" t="s">
        <v>61</v>
      </c>
      <c r="T13" s="18" t="s">
        <v>62</v>
      </c>
      <c r="U13" s="20" t="str">
        <f t="shared" ref="U13" si="11">IF(AND(S13="Preventivo",T13="Automático"),"50%",IF(AND(S13="Preventivo",T13="Manual"),"40%",IF(AND(S13="Detectivo",T13="Automático"),"40%",IF(AND(S13="Detectivo",T13="Manual"),"30%",IF(AND(S13="Correctivo",T13="Automático"),"35%",IF(AND(S13="Correctivo",T13="Manual"),"25%",""))))))</f>
        <v>40%</v>
      </c>
      <c r="V13" s="18" t="s">
        <v>70</v>
      </c>
      <c r="W13" s="18" t="s">
        <v>123</v>
      </c>
      <c r="X13" s="18" t="s">
        <v>65</v>
      </c>
      <c r="Y13" s="143">
        <f t="shared" si="2"/>
        <v>0</v>
      </c>
      <c r="Z13" s="19" t="str">
        <f t="shared" ref="Z13" si="12">IFERROR(IF(Y13="","",IF(Y13&lt;=0.2,"Muy Baja",IF(Y13&lt;=0.4,"Baja",IF(Y13&lt;=0.6,"Media",IF(Y13&lt;=0.8,"Alta","Muy Alta"))))),"")</f>
        <v>Muy Baja</v>
      </c>
      <c r="AA13" s="20">
        <f t="shared" ref="AA13" si="13">+Y13</f>
        <v>0</v>
      </c>
      <c r="AB13" s="19" t="str">
        <f t="shared" ref="AB13" si="14">IFERROR(IF(AC13="","",IF(AC13&lt;=0.2,"Leve",IF(AC13&lt;=0.4,"Menor",IF(AC13&lt;=0.6,"Moderado",IF(AC13&lt;=0.8,"Mayor","Catastrófico"))))),"")</f>
        <v>Leve</v>
      </c>
      <c r="AC13" s="20">
        <f t="shared" si="6"/>
        <v>0</v>
      </c>
      <c r="AD13" s="19" t="str">
        <f t="shared" ref="AD13" si="15">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8" t="s">
        <v>66</v>
      </c>
      <c r="AF13" s="145"/>
      <c r="AG13" s="144" t="s">
        <v>380</v>
      </c>
      <c r="AH13" s="145" t="s">
        <v>371</v>
      </c>
      <c r="AI13" s="144" t="s">
        <v>367</v>
      </c>
      <c r="AJ13" s="145"/>
      <c r="AK13" s="18" t="s">
        <v>226</v>
      </c>
    </row>
    <row r="14" spans="1:37">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row>
    <row r="15" spans="1:37">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row>
    <row r="16" spans="1:37">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row>
    <row r="17" spans="1:37">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row>
  </sheetData>
  <mergeCells count="77">
    <mergeCell ref="N12:N13"/>
    <mergeCell ref="G12:G13"/>
    <mergeCell ref="H12:H13"/>
    <mergeCell ref="I12:I13"/>
    <mergeCell ref="J12:J13"/>
    <mergeCell ref="L12:L13"/>
    <mergeCell ref="M12:M13"/>
    <mergeCell ref="A12:A13"/>
    <mergeCell ref="B12:B13"/>
    <mergeCell ref="C12:C13"/>
    <mergeCell ref="D12:D13"/>
    <mergeCell ref="E12:E13"/>
    <mergeCell ref="F12:F13"/>
    <mergeCell ref="I9:I11"/>
    <mergeCell ref="J9:J11"/>
    <mergeCell ref="K9:K11"/>
    <mergeCell ref="L9:L11"/>
    <mergeCell ref="M9:M11"/>
    <mergeCell ref="N9:N11"/>
    <mergeCell ref="AJ7:AJ8"/>
    <mergeCell ref="AK7:AK8"/>
    <mergeCell ref="A9:A11"/>
    <mergeCell ref="B9:B11"/>
    <mergeCell ref="C9:C11"/>
    <mergeCell ref="D9:D11"/>
    <mergeCell ref="E9:E11"/>
    <mergeCell ref="F9:F11"/>
    <mergeCell ref="G9:G11"/>
    <mergeCell ref="H9:H11"/>
    <mergeCell ref="AD7:AD8"/>
    <mergeCell ref="AE7:AE8"/>
    <mergeCell ref="AF7:AF8"/>
    <mergeCell ref="AG7:AG8"/>
    <mergeCell ref="AH7:AH8"/>
    <mergeCell ref="AI7:AI8"/>
    <mergeCell ref="S7:X7"/>
    <mergeCell ref="Y7:Y8"/>
    <mergeCell ref="Z7:Z8"/>
    <mergeCell ref="AA7:AA8"/>
    <mergeCell ref="AB7:AB8"/>
    <mergeCell ref="AC7:AC8"/>
    <mergeCell ref="A5:B5"/>
    <mergeCell ref="E7:E8"/>
    <mergeCell ref="R7:R8"/>
    <mergeCell ref="G7:G8"/>
    <mergeCell ref="H7:H8"/>
    <mergeCell ref="I7:I8"/>
    <mergeCell ref="J7:J8"/>
    <mergeCell ref="K7:K8"/>
    <mergeCell ref="L7:L8"/>
    <mergeCell ref="M7:M8"/>
    <mergeCell ref="N7:N8"/>
    <mergeCell ref="O7:O8"/>
    <mergeCell ref="P7:P8"/>
    <mergeCell ref="Q7:Q8"/>
    <mergeCell ref="F7:F8"/>
    <mergeCell ref="H6:N6"/>
    <mergeCell ref="O6:X6"/>
    <mergeCell ref="Y6:AE6"/>
    <mergeCell ref="AF6:AK6"/>
    <mergeCell ref="AH1:AK1"/>
    <mergeCell ref="E2:AG3"/>
    <mergeCell ref="AH2:AK2"/>
    <mergeCell ref="AH3:AK3"/>
    <mergeCell ref="AG5:AK5"/>
    <mergeCell ref="C5:G5"/>
    <mergeCell ref="H5:I5"/>
    <mergeCell ref="J5:N5"/>
    <mergeCell ref="O5:P5"/>
    <mergeCell ref="Q5:AE5"/>
    <mergeCell ref="A1:D3"/>
    <mergeCell ref="E1:AG1"/>
    <mergeCell ref="A7:A8"/>
    <mergeCell ref="B7:B8"/>
    <mergeCell ref="C7:C8"/>
    <mergeCell ref="D7:D8"/>
    <mergeCell ref="A6:G6"/>
  </mergeCells>
  <conditionalFormatting sqref="H9 Z9:Z13 H12">
    <cfRule type="cellIs" dxfId="245" priority="67" operator="equal">
      <formula>"Muy Alta"</formula>
    </cfRule>
    <cfRule type="cellIs" dxfId="244" priority="68" operator="equal">
      <formula>"Alta"</formula>
    </cfRule>
    <cfRule type="cellIs" dxfId="243" priority="69" operator="equal">
      <formula>"Media"</formula>
    </cfRule>
    <cfRule type="cellIs" dxfId="242" priority="70" operator="equal">
      <formula>"Baja"</formula>
    </cfRule>
    <cfRule type="cellIs" dxfId="241" priority="71" operator="equal">
      <formula>"Muy Baja"</formula>
    </cfRule>
  </conditionalFormatting>
  <conditionalFormatting sqref="K9 K12:K13">
    <cfRule type="containsText" dxfId="240" priority="1" operator="containsText" text="❌">
      <formula>NOT(ISERROR(SEARCH("❌",K9)))</formula>
    </cfRule>
  </conditionalFormatting>
  <conditionalFormatting sqref="L9 AB9:AB13 L12">
    <cfRule type="cellIs" dxfId="239" priority="62" operator="equal">
      <formula>"Catastrófico"</formula>
    </cfRule>
    <cfRule type="cellIs" dxfId="238" priority="63" operator="equal">
      <formula>"Mayor"</formula>
    </cfRule>
    <cfRule type="cellIs" dxfId="237" priority="64" operator="equal">
      <formula>"Moderado"</formula>
    </cfRule>
    <cfRule type="cellIs" dxfId="236" priority="65" operator="equal">
      <formula>"Menor"</formula>
    </cfRule>
    <cfRule type="cellIs" dxfId="235" priority="66" operator="equal">
      <formula>"Leve"</formula>
    </cfRule>
  </conditionalFormatting>
  <conditionalFormatting sqref="N9 AD9:AD13 N12">
    <cfRule type="cellIs" dxfId="234" priority="58" operator="equal">
      <formula>"Extremo"</formula>
    </cfRule>
    <cfRule type="cellIs" dxfId="233" priority="59" operator="equal">
      <formula>"Alto"</formula>
    </cfRule>
    <cfRule type="cellIs" dxfId="232" priority="60" operator="equal">
      <formula>"Moderado"</formula>
    </cfRule>
    <cfRule type="cellIs" dxfId="231" priority="61" operator="equal">
      <formula>"Bajo"</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31D5-42DA-4E48-A8E1-FBDFE406C06C}">
  <sheetPr>
    <tabColor rgb="FF00B0F0"/>
  </sheetPr>
  <dimension ref="A1:AK24"/>
  <sheetViews>
    <sheetView topLeftCell="A7" workbookViewId="0">
      <selection activeCell="F7" sqref="F7:F8"/>
    </sheetView>
  </sheetViews>
  <sheetFormatPr baseColWidth="10" defaultRowHeight="15"/>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c r="A5" s="254" t="s">
        <v>5</v>
      </c>
      <c r="B5" s="254"/>
      <c r="C5" s="525" t="s">
        <v>391</v>
      </c>
      <c r="D5" s="525"/>
      <c r="E5" s="525"/>
      <c r="F5" s="525"/>
      <c r="G5" s="525"/>
      <c r="H5" s="256" t="s">
        <v>7</v>
      </c>
      <c r="I5" s="256"/>
      <c r="J5" s="410" t="s">
        <v>392</v>
      </c>
      <c r="K5" s="410"/>
      <c r="L5" s="410"/>
      <c r="M5" s="410"/>
      <c r="N5" s="410"/>
      <c r="O5" s="526" t="s">
        <v>9</v>
      </c>
      <c r="P5" s="526"/>
      <c r="Q5" s="527" t="s">
        <v>393</v>
      </c>
      <c r="R5" s="528"/>
      <c r="S5" s="528"/>
      <c r="T5" s="528"/>
      <c r="U5" s="528"/>
      <c r="V5" s="528"/>
      <c r="W5" s="528"/>
      <c r="X5" s="528"/>
      <c r="Y5" s="528"/>
      <c r="Z5" s="528"/>
      <c r="AA5" s="528"/>
      <c r="AB5" s="528"/>
      <c r="AC5" s="528"/>
      <c r="AD5" s="528"/>
      <c r="AE5" s="529"/>
      <c r="AF5" s="154" t="s">
        <v>11</v>
      </c>
      <c r="AG5" s="409" t="s">
        <v>394</v>
      </c>
      <c r="AH5" s="409"/>
      <c r="AI5" s="409"/>
      <c r="AJ5" s="409"/>
      <c r="AK5" s="409"/>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2.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76.5">
      <c r="A9" s="231">
        <v>1</v>
      </c>
      <c r="B9" s="232" t="s">
        <v>71</v>
      </c>
      <c r="C9" s="232" t="s">
        <v>395</v>
      </c>
      <c r="D9" s="232" t="s">
        <v>396</v>
      </c>
      <c r="E9" s="233" t="s">
        <v>397</v>
      </c>
      <c r="F9" s="232" t="s">
        <v>56</v>
      </c>
      <c r="G9" s="232" t="s">
        <v>76</v>
      </c>
      <c r="H9" s="226" t="str">
        <f>IF(G9="","",IF('[24]Mapa final'!G9='[24]Tabla probabilidad'!$C$4,"MUY BAJA",IF('[24]Mapa final'!G9='[24]Tabla probabilidad'!$C$5,"BAJA",IF('[24]Mapa final'!G9='[24]Tabla probabilidad'!$C$6,"MEDIA",IF('[24]Mapa final'!G9='[24]Tabla probabilidad'!$C$7,"ALTA",IF('[24]Mapa final'!G9='[24]Tabla probabilidad'!$C$8,"MUY ALTA"))))))</f>
        <v>ALTA</v>
      </c>
      <c r="I9" s="225">
        <f>IF(H9="","",IF(H9="Muy Baja",0.2,IF(H9="Baja",0.4,IF(H9="Media",0.6,IF(H9="Alta",0.8,IF(H9="Muy Alta",1,))))))</f>
        <v>0.8</v>
      </c>
      <c r="J9" s="224" t="s">
        <v>398</v>
      </c>
      <c r="K9" s="225" t="str">
        <f>IF(J9="","",IF(NOT(ISERROR(MATCH(J9,'[24]Tabla Impacto'!$B$37:$B$39,0))),'[24]Tabla Impacto'!$F$37&amp;"Por favor no seleccionar los criterios de impacto(Afectación Económica o presupuestal y Pérdida Reputacional)",J9))</f>
        <v xml:space="preserve">     El riesgo afecta la imagen de la entidad internamente, de conocimiento general, nivel interno, de junta dircetiva y accionistas y/o de provedores</v>
      </c>
      <c r="L9" s="226" t="str">
        <f>IF(OR(J9='[24]Tabla Impacto'!$F$25,J9='[24]Tabla Impacto'!$F$31),"Leve",IF(OR(J9='[24]Tabla Impacto'!$F$26,J9='[24]Tabla Impacto'!$F$32),"Menor",IF(OR(J9='[24]Tabla Impacto'!$F$27,J9='[24]Tabla Impacto'!$F$33,J9='[24]Tabla Impacto'!$F$37),"Moderado",IF(OR(J9='[24]Tabla Impacto'!$F$28,J9='[24]Tabla Impacto'!$F$34,J9='[24]Tabla Impacto'!$F$38),"Mayor",IF(OR(J9='[24]Tabla Impacto'!$F$29,J9='[24]Tabla Impacto'!$F$35,J9='[24]Tabla Impacto'!$F$39),"Catastrófico","")))))</f>
        <v>Menor</v>
      </c>
      <c r="M9" s="225">
        <f>IF(L9="","",IF(L9="Leve",0.2,IF(L9="Menor",0.4,IF(L9="Moderado",0.6,IF(L9="Mayor",0.8,IF(L9="Catastrófico",1,))))))</f>
        <v>0.4</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399</v>
      </c>
      <c r="Q9" s="24" t="s">
        <v>400</v>
      </c>
      <c r="R9" s="23" t="str">
        <f t="shared" ref="R9:R21"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65</v>
      </c>
      <c r="Y9" s="26">
        <f>IFERROR(IF(R9="Probabilidad",(I9-(+I9*U9)),IF(R9="Impacto",I9,"")),"")</f>
        <v>0.48</v>
      </c>
      <c r="Z9" s="19" t="str">
        <f>IFERROR(IF(Y9="","",IF(Y9&lt;=0.2,"Muy Baja",IF(Y9&lt;=0.4,"Baja",IF(Y9&lt;=0.6,"Media",IF(Y9&lt;=0.8,"Alta","Muy Alta"))))),"")</f>
        <v>Media</v>
      </c>
      <c r="AA9" s="25">
        <f>+Y9</f>
        <v>0.48</v>
      </c>
      <c r="AB9" s="19" t="str">
        <f>IFERROR(IF(AC9="","",IF(AC9&lt;=0.2,"Leve",IF(AC9&lt;=0.4,"Menor",IF(AC9&lt;=0.6,"Moderado",IF(AC9&lt;=0.8,"Mayor","Catastrófico"))))),"")</f>
        <v>Menor</v>
      </c>
      <c r="AC9" s="25">
        <f>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66</v>
      </c>
      <c r="AF9" s="18"/>
      <c r="AG9" s="12"/>
      <c r="AH9" s="27"/>
      <c r="AI9" s="27"/>
      <c r="AJ9" s="18"/>
      <c r="AK9" s="12"/>
    </row>
    <row r="10" spans="1:37" ht="114.75">
      <c r="A10" s="231"/>
      <c r="B10" s="232"/>
      <c r="C10" s="232"/>
      <c r="D10" s="232"/>
      <c r="E10" s="233"/>
      <c r="F10" s="232"/>
      <c r="G10" s="232"/>
      <c r="H10" s="226"/>
      <c r="I10" s="225"/>
      <c r="J10" s="224"/>
      <c r="K10" s="225">
        <f ca="1">IF(NOT(ISERROR(MATCH(J10,_xlfn.ANCHORARRAY(E13),0))),#REF!&amp;"Por favor no seleccionar los criterios de impacto",J10)</f>
        <v>0</v>
      </c>
      <c r="L10" s="226"/>
      <c r="M10" s="225"/>
      <c r="N10" s="227"/>
      <c r="O10" s="23">
        <v>2</v>
      </c>
      <c r="P10" s="24" t="s">
        <v>401</v>
      </c>
      <c r="Q10" s="24" t="s">
        <v>402</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63</v>
      </c>
      <c r="W10" s="12" t="s">
        <v>64</v>
      </c>
      <c r="X10" s="12" t="s">
        <v>65</v>
      </c>
      <c r="Y10" s="26">
        <f>IFERROR(IF(R10="Probabilidad",(I10-(+I10*U10)),IF(R10="Impacto",I10,"")),"")</f>
        <v>0</v>
      </c>
      <c r="Z10" s="19" t="str">
        <f t="shared" ref="Z10" si="2">IFERROR(IF(Y10="","",IF(Y10&lt;=0.2,"Muy Baja",IF(Y10&lt;=0.4,"Baja",IF(Y10&lt;=0.6,"Media",IF(Y10&lt;=0.8,"Alta","Muy Alta"))))),"")</f>
        <v>Muy Baja</v>
      </c>
      <c r="AA10" s="25">
        <f>+Y10</f>
        <v>0</v>
      </c>
      <c r="AB10" s="19" t="str">
        <f t="shared" ref="AB10" si="3">IFERROR(IF(AC10="","",IF(AC10&lt;=0.2,"Leve",IF(AC10&lt;=0.4,"Menor",IF(AC10&lt;=0.6,"Moderado",IF(AC10&lt;=0.8,"Mayor","Catastrófico"))))),"")</f>
        <v>Leve</v>
      </c>
      <c r="AC10" s="25">
        <f t="shared" ref="AC10:AC21" si="4">IFERROR(IF(R10="Impacto",(M10-(+M10*U10)),IF(R10="Probabilidad",M10,"")),"")</f>
        <v>0</v>
      </c>
      <c r="AD10" s="2"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66</v>
      </c>
      <c r="AF10" s="18"/>
      <c r="AG10" s="12"/>
      <c r="AH10" s="27"/>
      <c r="AI10" s="27"/>
      <c r="AJ10" s="18"/>
      <c r="AK10" s="12"/>
    </row>
    <row r="11" spans="1:37" ht="150">
      <c r="A11" s="231">
        <v>2</v>
      </c>
      <c r="B11" s="530" t="s">
        <v>52</v>
      </c>
      <c r="C11" s="530" t="s">
        <v>403</v>
      </c>
      <c r="D11" s="530" t="s">
        <v>404</v>
      </c>
      <c r="E11" s="233" t="s">
        <v>405</v>
      </c>
      <c r="F11" s="530" t="s">
        <v>406</v>
      </c>
      <c r="G11" s="232" t="s">
        <v>57</v>
      </c>
      <c r="H11" s="226" t="str">
        <f>IF(G11="","",IF('[24]Mapa final'!G11='[24]Tabla probabilidad'!$C$4,"MUY BAJA",IF('[24]Mapa final'!G11='[24]Tabla probabilidad'!$C$5,"BAJA",IF('[24]Mapa final'!G11='[24]Tabla probabilidad'!$C$6,"MEDIA",IF('[24]Mapa final'!G11='[24]Tabla probabilidad'!$C$7,"ALTA",IF('[24]Mapa final'!G11='[24]Tabla probabilidad'!$C$8,"MUY ALTA"))))))</f>
        <v>MEDIA</v>
      </c>
      <c r="I11" s="225">
        <f t="shared" ref="I11" si="6">IF(H11="","",IF(H11="Muy Baja",0.2,IF(H11="Baja",0.4,IF(H11="Media",0.6,IF(H11="Alta",0.8,IF(H11="Muy Alta",1,))))))</f>
        <v>0.6</v>
      </c>
      <c r="J11" s="224" t="s">
        <v>398</v>
      </c>
      <c r="K11" s="225" t="str">
        <f>IF(J11="","",IF(NOT(ISERROR(MATCH(J11,'[24]Tabla Impacto'!$B$37:$B$39,0))),'[24]Tabla Impacto'!$F$37&amp;"Por favor no seleccionar los criterios de impacto(Afectación Económica o presupuestal y Pérdida Reputacional)",J11))</f>
        <v xml:space="preserve">     El riesgo afecta la imagen de la entidad internamente, de conocimiento general, nivel interno, de junta dircetiva y accionistas y/o de provedores</v>
      </c>
      <c r="L11" s="226" t="str">
        <f>IF(OR(J11='[24]Tabla Impacto'!$F$25,J11='[24]Tabla Impacto'!$F$31),"Leve",IF(OR(J11='[24]Tabla Impacto'!$F$26,J11='[24]Tabla Impacto'!$F$32),"Menor",IF(OR(J11='[24]Tabla Impacto'!$F$27,J11='[24]Tabla Impacto'!$F$33,J11='[24]Tabla Impacto'!$F$37),"Moderado",IF(OR(J11='[24]Tabla Impacto'!$F$28,J11='[24]Tabla Impacto'!$F$34,J11='[24]Tabla Impacto'!$F$38),"Mayor",IF(OR(J11='[24]Tabla Impacto'!$F$29,J11='[24]Tabla Impacto'!$F$35,J11='[24]Tabla Impacto'!$F$39),"Catastrófico","")))))</f>
        <v>Menor</v>
      </c>
      <c r="M11" s="225">
        <f t="shared" ref="M11" si="7">IF(L11="","",IF(L11="Leve",0.2,IF(L11="Menor",0.4,IF(L11="Moderado",0.6,IF(L11="Mayor",0.8,IF(L11="Catastrófico",1,))))))</f>
        <v>0.4</v>
      </c>
      <c r="N11" s="227" t="str">
        <f t="shared" ref="N11" si="8">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407</v>
      </c>
      <c r="Q11" s="24" t="s">
        <v>408</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64</v>
      </c>
      <c r="X11" s="12" t="s">
        <v>228</v>
      </c>
      <c r="Y11" s="26">
        <f t="shared" ref="Y11:Y21" si="9">IFERROR(IF(R11="Probabilidad",(I11-(+I11*U11)),IF(R11="Impacto",I11,"")),"")</f>
        <v>0.36</v>
      </c>
      <c r="Z11" s="19" t="str">
        <f>IFERROR(IF(Y11="","",IF(Y11&lt;=0.2,"Muy Baja",IF(Y11&lt;=0.4,"Baja",IF(Y11&lt;=0.6,"Media",IF(Y11&lt;=0.8,"Alta","Muy Alta"))))),"")</f>
        <v>Baja</v>
      </c>
      <c r="AA11" s="25">
        <f>+Y11</f>
        <v>0.36</v>
      </c>
      <c r="AB11" s="19" t="str">
        <f>IFERROR(IF(AC11="","",IF(AC11&lt;=0.2,"Leve",IF(AC11&lt;=0.4,"Menor",IF(AC11&lt;=0.6,"Moderado",IF(AC11&lt;=0.8,"Mayor","Catastrófico"))))),"")</f>
        <v>Menor</v>
      </c>
      <c r="AC11" s="25">
        <f t="shared" si="4"/>
        <v>0.4</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8" t="s">
        <v>66</v>
      </c>
      <c r="AF11" s="18" t="s">
        <v>409</v>
      </c>
      <c r="AG11" s="12" t="s">
        <v>410</v>
      </c>
      <c r="AH11" s="27" t="s">
        <v>411</v>
      </c>
      <c r="AI11" s="27" t="s">
        <v>412</v>
      </c>
      <c r="AJ11" s="18" t="s">
        <v>413</v>
      </c>
      <c r="AK11" s="12" t="s">
        <v>226</v>
      </c>
    </row>
    <row r="12" spans="1:37" ht="180">
      <c r="A12" s="231"/>
      <c r="B12" s="530"/>
      <c r="C12" s="530"/>
      <c r="D12" s="530"/>
      <c r="E12" s="233"/>
      <c r="F12" s="530"/>
      <c r="G12" s="232"/>
      <c r="H12" s="226"/>
      <c r="I12" s="225"/>
      <c r="J12" s="224"/>
      <c r="K12" s="225">
        <f ca="1">IF(NOT(ISERROR(MATCH(J12,_xlfn.ANCHORARRAY(E14),0))),#REF!&amp;"Por favor no seleccionar los criterios de impacto",J12)</f>
        <v>0</v>
      </c>
      <c r="L12" s="226"/>
      <c r="M12" s="225"/>
      <c r="N12" s="227"/>
      <c r="O12" s="23">
        <v>2</v>
      </c>
      <c r="P12" s="24" t="s">
        <v>414</v>
      </c>
      <c r="Q12" s="24" t="s">
        <v>415</v>
      </c>
      <c r="R12" s="23" t="str">
        <f t="shared" si="0"/>
        <v>Probabilidad</v>
      </c>
      <c r="S12" s="12" t="s">
        <v>61</v>
      </c>
      <c r="T12" s="12" t="s">
        <v>62</v>
      </c>
      <c r="U12" s="25" t="str">
        <f t="shared" ref="U12" si="10">IF(AND(S12="Preventivo",T12="Automático"),"50%",IF(AND(S12="Preventivo",T12="Manual"),"40%",IF(AND(S12="Detectivo",T12="Automático"),"40%",IF(AND(S12="Detectivo",T12="Manual"),"30%",IF(AND(S12="Correctivo",T12="Automático"),"35%",IF(AND(S12="Correctivo",T12="Manual"),"25%",""))))))</f>
        <v>40%</v>
      </c>
      <c r="V12" s="12" t="s">
        <v>63</v>
      </c>
      <c r="W12" s="12" t="s">
        <v>64</v>
      </c>
      <c r="X12" s="12" t="s">
        <v>228</v>
      </c>
      <c r="Y12" s="26">
        <f t="shared" si="9"/>
        <v>0</v>
      </c>
      <c r="Z12" s="19" t="str">
        <f t="shared" ref="Z12:Z21" si="11">IFERROR(IF(Y12="","",IF(Y12&lt;=0.2,"Muy Baja",IF(Y12&lt;=0.4,"Baja",IF(Y12&lt;=0.6,"Media",IF(Y12&lt;=0.8,"Alta","Muy Alta"))))),"")</f>
        <v>Muy Baja</v>
      </c>
      <c r="AA12" s="25">
        <f t="shared" ref="AA12" si="12">+Y12</f>
        <v>0</v>
      </c>
      <c r="AB12" s="19" t="str">
        <f t="shared" ref="AB12:AB21" si="13">IFERROR(IF(AC12="","",IF(AC12&lt;=0.2,"Leve",IF(AC12&lt;=0.4,"Menor",IF(AC12&lt;=0.6,"Moderado",IF(AC12&lt;=0.8,"Mayor","Catastrófico"))))),"")</f>
        <v>Leve</v>
      </c>
      <c r="AC12" s="25">
        <f t="shared" si="4"/>
        <v>0</v>
      </c>
      <c r="AD12" s="2"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8" t="s">
        <v>66</v>
      </c>
      <c r="AF12" s="18" t="s">
        <v>416</v>
      </c>
      <c r="AG12" s="12" t="s">
        <v>410</v>
      </c>
      <c r="AH12" s="27" t="s">
        <v>411</v>
      </c>
      <c r="AI12" s="27" t="s">
        <v>412</v>
      </c>
      <c r="AJ12" s="18" t="s">
        <v>413</v>
      </c>
      <c r="AK12" s="12" t="s">
        <v>226</v>
      </c>
    </row>
    <row r="13" spans="1:37" ht="315">
      <c r="A13" s="1">
        <v>3</v>
      </c>
      <c r="B13" s="156" t="s">
        <v>52</v>
      </c>
      <c r="C13" s="156" t="s">
        <v>417</v>
      </c>
      <c r="D13" s="156" t="s">
        <v>418</v>
      </c>
      <c r="E13" s="30" t="s">
        <v>419</v>
      </c>
      <c r="F13" s="156" t="s">
        <v>75</v>
      </c>
      <c r="G13" s="18" t="s">
        <v>57</v>
      </c>
      <c r="H13" s="19" t="str">
        <f>IF(G13="","",IF('[24]Mapa final'!G13='[24]Tabla probabilidad'!$C$4,"MUY BAJA",IF('[24]Mapa final'!G13='[24]Tabla probabilidad'!$C$5,"BAJA",IF('[24]Mapa final'!G13='[24]Tabla probabilidad'!$C$6,"MEDIA",IF('[24]Mapa final'!G13='[24]Tabla probabilidad'!$C$7,"ALTA",IF('[24]Mapa final'!G13='[24]Tabla probabilidad'!$C$8,"MUY ALTA"))))))</f>
        <v>MEDIA</v>
      </c>
      <c r="I13" s="20">
        <f t="shared" ref="I13:I16" si="15">IF(H13="","",IF(H13="Muy Baja",0.2,IF(H13="Baja",0.4,IF(H13="Media",0.6,IF(H13="Alta",0.8,IF(H13="Muy Alta",1,))))))</f>
        <v>0.6</v>
      </c>
      <c r="J13" s="21" t="s">
        <v>398</v>
      </c>
      <c r="K13" s="20" t="str">
        <f>IF(J13="","",IF(NOT(ISERROR(MATCH(J13,'[24]Tabla Impacto'!$B$37:$B$39,0))),'[24]Tabla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19" t="str">
        <f>IF(OR(J13='[24]Tabla Impacto'!$F$25,J13='[24]Tabla Impacto'!$F$31),"Leve",IF(OR(J13='[24]Tabla Impacto'!$F$26,J13='[24]Tabla Impacto'!$F$32),"Menor",IF(OR(J13='[24]Tabla Impacto'!$F$27,J13='[24]Tabla Impacto'!$F$33,J13='[24]Tabla Impacto'!$F$37),"Moderado",IF(OR(J13='[24]Tabla Impacto'!$F$28,J13='[24]Tabla Impacto'!$F$34,J13='[24]Tabla Impacto'!$F$38),"Mayor",IF(OR(J13='[24]Tabla Impacto'!$F$29,J13='[24]Tabla Impacto'!$F$35,J13='[24]Tabla Impacto'!$F$39),"Catastrófico","")))))</f>
        <v>Menor</v>
      </c>
      <c r="M13" s="20">
        <f t="shared" ref="M13:M16" si="16">IF(L13="","",IF(L13="Leve",0.2,IF(L13="Menor",0.4,IF(L13="Moderado",0.6,IF(L13="Mayor",0.8,IF(L13="Catastrófico",1,))))))</f>
        <v>0.4</v>
      </c>
      <c r="N13" s="2" t="str">
        <f t="shared" ref="N13:N16" si="17">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420</v>
      </c>
      <c r="Q13" s="24" t="s">
        <v>421</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63</v>
      </c>
      <c r="W13" s="12" t="s">
        <v>64</v>
      </c>
      <c r="X13" s="12" t="s">
        <v>228</v>
      </c>
      <c r="Y13" s="26">
        <f t="shared" si="9"/>
        <v>0.36</v>
      </c>
      <c r="Z13" s="19" t="str">
        <f>IFERROR(IF(Y13="","",IF(Y13&lt;=0.2,"Muy Baja",IF(Y13&lt;=0.4,"Baja",IF(Y13&lt;=0.6,"Media",IF(Y13&lt;=0.8,"Alta","Muy Alta"))))),"")</f>
        <v>Baja</v>
      </c>
      <c r="AA13" s="25">
        <f>+Y13</f>
        <v>0.36</v>
      </c>
      <c r="AB13" s="19" t="str">
        <f>IFERROR(IF(AC13="","",IF(AC13&lt;=0.2,"Leve",IF(AC13&lt;=0.4,"Menor",IF(AC13&lt;=0.6,"Moderado",IF(AC13&lt;=0.8,"Mayor","Catastrófico"))))),"")</f>
        <v>Menor</v>
      </c>
      <c r="AC13" s="25">
        <f t="shared" si="4"/>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8" t="s">
        <v>66</v>
      </c>
      <c r="AF13" s="18" t="s">
        <v>422</v>
      </c>
      <c r="AG13" s="12" t="s">
        <v>410</v>
      </c>
      <c r="AH13" s="27" t="s">
        <v>411</v>
      </c>
      <c r="AI13" s="27" t="s">
        <v>412</v>
      </c>
      <c r="AJ13" s="18" t="s">
        <v>413</v>
      </c>
      <c r="AK13" s="12" t="s">
        <v>226</v>
      </c>
    </row>
    <row r="14" spans="1:37" ht="360">
      <c r="A14" s="1">
        <v>4</v>
      </c>
      <c r="B14" s="156" t="s">
        <v>71</v>
      </c>
      <c r="C14" s="156" t="s">
        <v>423</v>
      </c>
      <c r="D14" s="156" t="s">
        <v>424</v>
      </c>
      <c r="E14" s="30" t="s">
        <v>425</v>
      </c>
      <c r="F14" s="156" t="s">
        <v>56</v>
      </c>
      <c r="G14" s="18" t="s">
        <v>76</v>
      </c>
      <c r="H14" s="19" t="str">
        <f>IF(G14="","",IF('[24]Mapa final'!G14='[24]Tabla probabilidad'!$C$4,"MUY BAJA",IF('[24]Mapa final'!G14='[24]Tabla probabilidad'!$C$5,"BAJA",IF('[24]Mapa final'!G14='[24]Tabla probabilidad'!$C$6,"MEDIA",IF('[24]Mapa final'!G14='[24]Tabla probabilidad'!$C$7,"ALTA",IF('[24]Mapa final'!G14='[24]Tabla probabilidad'!$C$8,"MUY ALTA"))))))</f>
        <v>ALTA</v>
      </c>
      <c r="I14" s="20">
        <f t="shared" si="15"/>
        <v>0.8</v>
      </c>
      <c r="J14" s="21" t="s">
        <v>328</v>
      </c>
      <c r="K14" s="20" t="str">
        <f>IF(J14="","",IF(NOT(ISERROR(MATCH(J14,'[24]Tabla Impacto'!$B$37:$B$39,0))),'[24]Tabla Impacto'!$F$37&amp;"Por favor no seleccionar los criterios de impacto(Afectación Económica o presupuestal y Pérdida Reputacional)",J14))</f>
        <v xml:space="preserve">     El riesgo afecta la imagen de alguna área de la organización</v>
      </c>
      <c r="L14" s="19" t="str">
        <f>IF(OR(J14='[24]Tabla Impacto'!$F$25,J14='[24]Tabla Impacto'!$F$31),"Leve",IF(OR(J14='[24]Tabla Impacto'!$F$26,J14='[24]Tabla Impacto'!$F$32),"Menor",IF(OR(J14='[24]Tabla Impacto'!$F$27,J14='[24]Tabla Impacto'!$F$33,J14='[24]Tabla Impacto'!$F$37),"Moderado",IF(OR(J14='[24]Tabla Impacto'!$F$28,J14='[24]Tabla Impacto'!$F$34,J14='[24]Tabla Impacto'!$F$38),"Mayor",IF(OR(J14='[24]Tabla Impacto'!$F$29,J14='[24]Tabla Impacto'!$F$35,J14='[24]Tabla Impacto'!$F$39),"Catastrófico","")))))</f>
        <v>Leve</v>
      </c>
      <c r="M14" s="20">
        <f t="shared" si="16"/>
        <v>0.2</v>
      </c>
      <c r="N14" s="2" t="str">
        <f t="shared" si="17"/>
        <v>Moderado</v>
      </c>
      <c r="O14" s="23">
        <v>1</v>
      </c>
      <c r="P14" s="24" t="s">
        <v>426</v>
      </c>
      <c r="Q14" s="24" t="s">
        <v>427</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64</v>
      </c>
      <c r="X14" s="12" t="s">
        <v>228</v>
      </c>
      <c r="Y14" s="26">
        <f t="shared" si="9"/>
        <v>0.48</v>
      </c>
      <c r="Z14" s="19" t="str">
        <f>IFERROR(IF(Y14="","",IF(Y14&lt;=0.2,"Muy Baja",IF(Y14&lt;=0.4,"Baja",IF(Y14&lt;=0.6,"Media",IF(Y14&lt;=0.8,"Alta","Muy Alta"))))),"")</f>
        <v>Media</v>
      </c>
      <c r="AA14" s="25">
        <f>+Y14</f>
        <v>0.48</v>
      </c>
      <c r="AB14" s="19" t="str">
        <f>IFERROR(IF(AC14="","",IF(AC14&lt;=0.2,"Leve",IF(AC14&lt;=0.4,"Menor",IF(AC14&lt;=0.6,"Moderado",IF(AC14&lt;=0.8,"Mayor","Catastrófico"))))),"")</f>
        <v>Leve</v>
      </c>
      <c r="AC14" s="25">
        <f t="shared" si="4"/>
        <v>0.2</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18" t="s">
        <v>66</v>
      </c>
      <c r="AF14" s="157" t="s">
        <v>428</v>
      </c>
      <c r="AG14" s="12" t="s">
        <v>410</v>
      </c>
      <c r="AH14" s="27" t="s">
        <v>411</v>
      </c>
      <c r="AI14" s="27" t="s">
        <v>412</v>
      </c>
      <c r="AJ14" s="18" t="s">
        <v>413</v>
      </c>
      <c r="AK14" s="12" t="s">
        <v>226</v>
      </c>
    </row>
    <row r="15" spans="1:37" ht="270">
      <c r="A15" s="1">
        <v>6</v>
      </c>
      <c r="B15" s="18" t="s">
        <v>71</v>
      </c>
      <c r="C15" s="18" t="s">
        <v>429</v>
      </c>
      <c r="D15" s="18" t="s">
        <v>430</v>
      </c>
      <c r="E15" s="30" t="s">
        <v>431</v>
      </c>
      <c r="F15" s="18" t="s">
        <v>56</v>
      </c>
      <c r="G15" s="18" t="s">
        <v>57</v>
      </c>
      <c r="H15" s="19" t="str">
        <f>IF(G15="","",IF('[24]Mapa final'!G15='[24]Tabla probabilidad'!$C$4,"MUY BAJA",IF('[24]Mapa final'!G15='[24]Tabla probabilidad'!$C$5,"BAJA",IF('[24]Mapa final'!G15='[24]Tabla probabilidad'!$C$6,"MEDIA",IF('[24]Mapa final'!G15='[24]Tabla probabilidad'!$C$7,"ALTA",IF('[24]Mapa final'!G15='[24]Tabla probabilidad'!$C$8,"MUY ALTA"))))))</f>
        <v>MEDIA</v>
      </c>
      <c r="I15" s="20">
        <f t="shared" si="15"/>
        <v>0.6</v>
      </c>
      <c r="J15" s="21" t="s">
        <v>135</v>
      </c>
      <c r="K15" s="20" t="str">
        <f>IF(J15="","",IF(NOT(ISERROR(MATCH(J15,'[24]Tabla Impacto'!$B$37:$B$39,0))),'[24]Tabla Impacto'!$F$37&amp;"Por favor no seleccionar los criterios de impacto(Afectación Económica o presupuestal y Pérdida Reputacional)",J15))</f>
        <v xml:space="preserve">     Entre 10 y 50 SMLMV </v>
      </c>
      <c r="L15" s="19" t="str">
        <f>IF(OR(J15='[24]Tabla Impacto'!$F$25,J15='[24]Tabla Impacto'!$F$31),"Leve",IF(OR(J15='[24]Tabla Impacto'!$F$26,J15='[24]Tabla Impacto'!$F$32),"Menor",IF(OR(J15='[24]Tabla Impacto'!$F$27,J15='[24]Tabla Impacto'!$F$33,J15='[24]Tabla Impacto'!$F$37),"Moderado",IF(OR(J15='[24]Tabla Impacto'!$F$28,J15='[24]Tabla Impacto'!$F$34,J15='[24]Tabla Impacto'!$F$38),"Mayor",IF(OR(J15='[24]Tabla Impacto'!$F$29,J15='[24]Tabla Impacto'!$F$35,J15='[24]Tabla Impacto'!$F$39),"Catastrófico","")))))</f>
        <v>Menor</v>
      </c>
      <c r="M15" s="20">
        <f t="shared" si="16"/>
        <v>0.4</v>
      </c>
      <c r="N15" s="2" t="str">
        <f t="shared" si="17"/>
        <v>Moderado</v>
      </c>
      <c r="O15" s="23">
        <v>1</v>
      </c>
      <c r="P15" s="24" t="s">
        <v>432</v>
      </c>
      <c r="Q15" s="24" t="s">
        <v>433</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63</v>
      </c>
      <c r="W15" s="12" t="s">
        <v>64</v>
      </c>
      <c r="X15" s="12" t="s">
        <v>228</v>
      </c>
      <c r="Y15" s="26">
        <f t="shared" si="9"/>
        <v>0.36</v>
      </c>
      <c r="Z15" s="19" t="str">
        <f>IFERROR(IF(Y15="","",IF(Y15&lt;=0.2,"Muy Baja",IF(Y15&lt;=0.4,"Baja",IF(Y15&lt;=0.6,"Media",IF(Y15&lt;=0.8,"Alta","Muy Alta"))))),"")</f>
        <v>Baja</v>
      </c>
      <c r="AA15" s="25">
        <f>+Y15</f>
        <v>0.36</v>
      </c>
      <c r="AB15" s="19" t="str">
        <f>IFERROR(IF(AC15="","",IF(AC15&lt;=0.2,"Leve",IF(AC15&lt;=0.4,"Menor",IF(AC15&lt;=0.6,"Moderado",IF(AC15&lt;=0.8,"Mayor","Catastrófico"))))),"")</f>
        <v>Menor</v>
      </c>
      <c r="AC15" s="25">
        <f t="shared" si="4"/>
        <v>0.4</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8" t="s">
        <v>66</v>
      </c>
      <c r="AF15" s="18" t="s">
        <v>434</v>
      </c>
      <c r="AG15" s="12" t="s">
        <v>410</v>
      </c>
      <c r="AH15" s="27" t="s">
        <v>411</v>
      </c>
      <c r="AI15" s="27" t="s">
        <v>412</v>
      </c>
      <c r="AJ15" s="18" t="s">
        <v>413</v>
      </c>
      <c r="AK15" s="12" t="s">
        <v>226</v>
      </c>
    </row>
    <row r="16" spans="1:37">
      <c r="A16" s="231">
        <v>8</v>
      </c>
      <c r="B16" s="232"/>
      <c r="C16" s="232"/>
      <c r="D16" s="232"/>
      <c r="E16" s="233"/>
      <c r="F16" s="232"/>
      <c r="G16" s="232"/>
      <c r="H16" s="226" t="str">
        <f>IF(G16="","",IF('[24]Mapa final'!G16='[24]Tabla probabilidad'!$C$4,"MUY BAJA",IF('[24]Mapa final'!G16='[24]Tabla probabilidad'!$C$5,"BAJA",IF('[24]Mapa final'!G16='[24]Tabla probabilidad'!$C$6,"MEDIA",IF('[24]Mapa final'!G16='[24]Tabla probabilidad'!$C$7,"ALTA",IF('[24]Mapa final'!G16='[24]Tabla probabilidad'!$C$8,"MUY ALTA"))))))</f>
        <v/>
      </c>
      <c r="I16" s="225" t="str">
        <f t="shared" si="15"/>
        <v/>
      </c>
      <c r="J16" s="224"/>
      <c r="K16" s="225" t="str">
        <f>IF(J16="","",IF(NOT(ISERROR(MATCH(J16,'[24]Tabla Impacto'!$B$37:$B$39,0))),'[24]Tabla Impacto'!$F$37&amp;"Por favor no seleccionar los criterios de impacto(Afectación Económica o presupuestal y Pérdida Reputacional)",J16))</f>
        <v/>
      </c>
      <c r="L16" s="226" t="str">
        <f>IF(OR(J16='[24]Tabla Impacto'!$F$25,J16='[24]Tabla Impacto'!$F$31),"Leve",IF(OR(J16='[24]Tabla Impacto'!$F$26,J16='[24]Tabla Impacto'!$F$32),"Menor",IF(OR(J16='[24]Tabla Impacto'!$F$27,J16='[24]Tabla Impacto'!$F$33,J16='[24]Tabla Impacto'!$F$37),"Moderado",IF(OR(J16='[24]Tabla Impacto'!$F$28,J16='[24]Tabla Impacto'!$F$34,J16='[24]Tabla Impacto'!$F$38),"Mayor",IF(OR(J16='[24]Tabla Impacto'!$F$29,J16='[24]Tabla Impacto'!$F$35,J16='[24]Tabla Impacto'!$F$39),"Catastrófico","")))))</f>
        <v/>
      </c>
      <c r="M16" s="225" t="str">
        <f t="shared" si="16"/>
        <v/>
      </c>
      <c r="N16" s="227" t="str">
        <f t="shared" si="17"/>
        <v/>
      </c>
      <c r="O16" s="23">
        <v>1</v>
      </c>
      <c r="P16" s="24"/>
      <c r="Q16" s="24"/>
      <c r="R16" s="23" t="str">
        <f t="shared" si="0"/>
        <v/>
      </c>
      <c r="S16" s="12"/>
      <c r="T16" s="12"/>
      <c r="U16" s="25" t="str">
        <f>IF(AND(S16="Preventivo",T16="Automático"),"50%",IF(AND(S16="Preventivo",T16="Manual"),"40%",IF(AND(S16="Detectivo",T16="Automático"),"40%",IF(AND(S16="Detectivo",T16="Manual"),"30%",IF(AND(S16="Correctivo",T16="Automático"),"35%",IF(AND(S16="Correctivo",T16="Manual"),"25%",""))))))</f>
        <v/>
      </c>
      <c r="V16" s="12"/>
      <c r="W16" s="12"/>
      <c r="X16" s="12"/>
      <c r="Y16" s="26" t="str">
        <f t="shared" si="9"/>
        <v/>
      </c>
      <c r="Z16" s="19" t="str">
        <f>IFERROR(IF(Y16="","",IF(Y16&lt;=0.2,"Muy Baja",IF(Y16&lt;=0.4,"Baja",IF(Y16&lt;=0.6,"Media",IF(Y16&lt;=0.8,"Alta","Muy Alta"))))),"")</f>
        <v/>
      </c>
      <c r="AA16" s="25" t="str">
        <f>+Y16</f>
        <v/>
      </c>
      <c r="AB16" s="19" t="str">
        <f>IFERROR(IF(AC16="","",IF(AC16&lt;=0.2,"Leve",IF(AC16&lt;=0.4,"Menor",IF(AC16&lt;=0.6,"Moderado",IF(AC16&lt;=0.8,"Mayor","Catastrófico"))))),"")</f>
        <v/>
      </c>
      <c r="AC16" s="25" t="str">
        <f t="shared" si="4"/>
        <v/>
      </c>
      <c r="AD16" s="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31"/>
      <c r="B17" s="232"/>
      <c r="C17" s="232"/>
      <c r="D17" s="232"/>
      <c r="E17" s="233"/>
      <c r="F17" s="232"/>
      <c r="G17" s="232"/>
      <c r="H17" s="226"/>
      <c r="I17" s="225"/>
      <c r="J17" s="224"/>
      <c r="K17" s="225">
        <f ca="1">IF(NOT(ISERROR(MATCH(J17,_xlfn.ANCHORARRAY(E20),0))),#REF!&amp;"Por favor no seleccionar los criterios de impacto",J17)</f>
        <v>0</v>
      </c>
      <c r="L17" s="226"/>
      <c r="M17" s="225"/>
      <c r="N17" s="227"/>
      <c r="O17" s="23">
        <v>2</v>
      </c>
      <c r="P17" s="24"/>
      <c r="Q17" s="24"/>
      <c r="R17" s="23" t="str">
        <f t="shared" si="0"/>
        <v/>
      </c>
      <c r="S17" s="12"/>
      <c r="T17" s="12"/>
      <c r="U17" s="25" t="str">
        <f t="shared" ref="U17" si="18">IF(AND(S17="Preventivo",T17="Automático"),"50%",IF(AND(S17="Preventivo",T17="Manual"),"40%",IF(AND(S17="Detectivo",T17="Automático"),"40%",IF(AND(S17="Detectivo",T17="Manual"),"30%",IF(AND(S17="Correctivo",T17="Automático"),"35%",IF(AND(S17="Correctivo",T17="Manual"),"25%",""))))))</f>
        <v/>
      </c>
      <c r="V17" s="12"/>
      <c r="W17" s="12"/>
      <c r="X17" s="12"/>
      <c r="Y17" s="26" t="str">
        <f t="shared" si="9"/>
        <v/>
      </c>
      <c r="Z17" s="19" t="str">
        <f t="shared" si="11"/>
        <v/>
      </c>
      <c r="AA17" s="25" t="str">
        <f t="shared" ref="AA17" si="19">+Y17</f>
        <v/>
      </c>
      <c r="AB17" s="19" t="str">
        <f t="shared" si="13"/>
        <v/>
      </c>
      <c r="AC17" s="25" t="str">
        <f t="shared" si="4"/>
        <v/>
      </c>
      <c r="AD17" s="2" t="str">
        <f t="shared" ref="AD17" si="20">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31">
        <v>9</v>
      </c>
      <c r="B18" s="232"/>
      <c r="C18" s="232"/>
      <c r="D18" s="232"/>
      <c r="E18" s="233"/>
      <c r="F18" s="232"/>
      <c r="G18" s="232"/>
      <c r="H18" s="226" t="str">
        <f>IF(G18="","",IF('[24]Mapa final'!G18='[24]Tabla probabilidad'!$C$4,"MUY BAJA",IF('[24]Mapa final'!G18='[24]Tabla probabilidad'!$C$5,"BAJA",IF('[24]Mapa final'!G18='[24]Tabla probabilidad'!$C$6,"MEDIA",IF('[24]Mapa final'!G18='[24]Tabla probabilidad'!$C$7,"ALTA",IF('[24]Mapa final'!G18='[24]Tabla probabilidad'!$C$8,"MUY ALTA"))))))</f>
        <v/>
      </c>
      <c r="I18" s="225" t="str">
        <f t="shared" ref="I18" si="21">IF(H18="","",IF(H18="Muy Baja",0.2,IF(H18="Baja",0.4,IF(H18="Media",0.6,IF(H18="Alta",0.8,IF(H18="Muy Alta",1,))))))</f>
        <v/>
      </c>
      <c r="J18" s="224"/>
      <c r="K18" s="225" t="str">
        <f>IF(J18="","",IF(NOT(ISERROR(MATCH(J18,'[24]Tabla Impacto'!$B$37:$B$39,0))),'[24]Tabla Impacto'!$F$37&amp;"Por favor no seleccionar los criterios de impacto(Afectación Económica o presupuestal y Pérdida Reputacional)",J18))</f>
        <v/>
      </c>
      <c r="L18" s="226" t="str">
        <f>IF(OR(J18='[24]Tabla Impacto'!$F$25,J18='[24]Tabla Impacto'!$F$31),"Leve",IF(OR(J18='[24]Tabla Impacto'!$F$26,J18='[24]Tabla Impacto'!$F$32),"Menor",IF(OR(J18='[24]Tabla Impacto'!$F$27,J18='[24]Tabla Impacto'!$F$33,J18='[24]Tabla Impacto'!$F$37),"Moderado",IF(OR(J18='[24]Tabla Impacto'!$F$28,J18='[24]Tabla Impacto'!$F$34,J18='[24]Tabla Impacto'!$F$38),"Mayor",IF(OR(J18='[24]Tabla Impacto'!$F$29,J18='[24]Tabla Impacto'!$F$35,J18='[24]Tabla Impacto'!$F$39),"Catastrófico","")))))</f>
        <v/>
      </c>
      <c r="M18" s="225" t="str">
        <f t="shared" ref="M18" si="22">IF(L18="","",IF(L18="Leve",0.2,IF(L18="Menor",0.4,IF(L18="Moderado",0.6,IF(L18="Mayor",0.8,IF(L18="Catastrófico",1,))))))</f>
        <v/>
      </c>
      <c r="N18" s="227" t="str">
        <f t="shared" ref="N18" si="23">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23">
        <v>1</v>
      </c>
      <c r="P18" s="24"/>
      <c r="Q18" s="24"/>
      <c r="R18" s="23" t="str">
        <f t="shared" si="0"/>
        <v/>
      </c>
      <c r="S18" s="12"/>
      <c r="T18" s="12"/>
      <c r="U18" s="25" t="str">
        <f>IF(AND(S18="Preventivo",T18="Automático"),"50%",IF(AND(S18="Preventivo",T18="Manual"),"40%",IF(AND(S18="Detectivo",T18="Automático"),"40%",IF(AND(S18="Detectivo",T18="Manual"),"30%",IF(AND(S18="Correctivo",T18="Automático"),"35%",IF(AND(S18="Correctivo",T18="Manual"),"25%",""))))))</f>
        <v/>
      </c>
      <c r="V18" s="12"/>
      <c r="W18" s="12"/>
      <c r="X18" s="12"/>
      <c r="Y18" s="26" t="str">
        <f t="shared" si="9"/>
        <v/>
      </c>
      <c r="Z18" s="19" t="str">
        <f>IFERROR(IF(Y18="","",IF(Y18&lt;=0.2,"Muy Baja",IF(Y18&lt;=0.4,"Baja",IF(Y18&lt;=0.6,"Media",IF(Y18&lt;=0.8,"Alta","Muy Alta"))))),"")</f>
        <v/>
      </c>
      <c r="AA18" s="25" t="str">
        <f>+Y18</f>
        <v/>
      </c>
      <c r="AB18" s="19" t="str">
        <f>IFERROR(IF(AC18="","",IF(AC18&lt;=0.2,"Leve",IF(AC18&lt;=0.4,"Menor",IF(AC18&lt;=0.6,"Moderado",IF(AC18&lt;=0.8,"Mayor","Catastrófico"))))),"")</f>
        <v/>
      </c>
      <c r="AC18" s="25" t="str">
        <f t="shared" si="4"/>
        <v/>
      </c>
      <c r="AD18" s="2"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31"/>
      <c r="B19" s="232"/>
      <c r="C19" s="232"/>
      <c r="D19" s="232"/>
      <c r="E19" s="233"/>
      <c r="F19" s="232"/>
      <c r="G19" s="232"/>
      <c r="H19" s="226"/>
      <c r="I19" s="225"/>
      <c r="J19" s="224"/>
      <c r="K19" s="225">
        <f ca="1">IF(NOT(ISERROR(MATCH(J19,_xlfn.ANCHORARRAY(E22),0))),#REF!&amp;"Por favor no seleccionar los criterios de impacto",J19)</f>
        <v>0</v>
      </c>
      <c r="L19" s="226"/>
      <c r="M19" s="225"/>
      <c r="N19" s="227"/>
      <c r="O19" s="23">
        <v>2</v>
      </c>
      <c r="P19" s="24"/>
      <c r="Q19" s="24"/>
      <c r="R19" s="23" t="str">
        <f t="shared" si="0"/>
        <v/>
      </c>
      <c r="S19" s="12"/>
      <c r="T19" s="12"/>
      <c r="U19" s="25" t="str">
        <f t="shared" ref="U19" si="24">IF(AND(S19="Preventivo",T19="Automático"),"50%",IF(AND(S19="Preventivo",T19="Manual"),"40%",IF(AND(S19="Detectivo",T19="Automático"),"40%",IF(AND(S19="Detectivo",T19="Manual"),"30%",IF(AND(S19="Correctivo",T19="Automático"),"35%",IF(AND(S19="Correctivo",T19="Manual"),"25%",""))))))</f>
        <v/>
      </c>
      <c r="V19" s="12"/>
      <c r="W19" s="12"/>
      <c r="X19" s="12"/>
      <c r="Y19" s="26" t="str">
        <f t="shared" si="9"/>
        <v/>
      </c>
      <c r="Z19" s="19" t="str">
        <f t="shared" si="11"/>
        <v/>
      </c>
      <c r="AA19" s="25" t="str">
        <f t="shared" ref="AA19" si="25">+Y19</f>
        <v/>
      </c>
      <c r="AB19" s="19" t="str">
        <f t="shared" si="13"/>
        <v/>
      </c>
      <c r="AC19" s="25" t="str">
        <f t="shared" si="4"/>
        <v/>
      </c>
      <c r="AD19" s="2" t="str">
        <f t="shared" ref="AD19" si="26">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31">
        <v>10</v>
      </c>
      <c r="B20" s="232"/>
      <c r="C20" s="232"/>
      <c r="D20" s="232"/>
      <c r="E20" s="233"/>
      <c r="F20" s="232"/>
      <c r="G20" s="232"/>
      <c r="H20" s="226" t="str">
        <f>IF(G20="","",IF('[24]Mapa final'!G20='[24]Tabla probabilidad'!$C$4,"MUY BAJA",IF('[24]Mapa final'!G20='[24]Tabla probabilidad'!$C$5,"BAJA",IF('[24]Mapa final'!G20='[24]Tabla probabilidad'!$C$6,"MEDIA",IF('[24]Mapa final'!G20='[24]Tabla probabilidad'!$C$7,"ALTA",IF('[24]Mapa final'!G20='[24]Tabla probabilidad'!$C$8,"MUY ALTA"))))))</f>
        <v/>
      </c>
      <c r="I20" s="225" t="str">
        <f t="shared" ref="I20" si="27">IF(H20="","",IF(H20="Muy Baja",0.2,IF(H20="Baja",0.4,IF(H20="Media",0.6,IF(H20="Alta",0.8,IF(H20="Muy Alta",1,))))))</f>
        <v/>
      </c>
      <c r="J20" s="224"/>
      <c r="K20" s="225" t="str">
        <f>IF(J20="","",IF(NOT(ISERROR(MATCH(J20,'[24]Tabla Impacto'!$B$37:$B$39,0))),'[24]Tabla Impacto'!$F$37&amp;"Por favor no seleccionar los criterios de impacto(Afectación Económica o presupuestal y Pérdida Reputacional)",J20))</f>
        <v/>
      </c>
      <c r="L20" s="226" t="str">
        <f>IF(OR(J20='[24]Tabla Impacto'!$F$25,J20='[24]Tabla Impacto'!$F$31),"Leve",IF(OR(J20='[24]Tabla Impacto'!$F$26,J20='[24]Tabla Impacto'!$F$32),"Menor",IF(OR(J20='[24]Tabla Impacto'!$F$27,J20='[24]Tabla Impacto'!$F$33,J20='[24]Tabla Impacto'!$F$37),"Moderado",IF(OR(J20='[24]Tabla Impacto'!$F$28,J20='[24]Tabla Impacto'!$F$34,J20='[24]Tabla Impacto'!$F$38),"Mayor",IF(OR(J20='[24]Tabla Impacto'!$F$29,J20='[24]Tabla Impacto'!$F$35,J20='[24]Tabla Impacto'!$F$39),"Catastrófico","")))))</f>
        <v/>
      </c>
      <c r="M20" s="225" t="str">
        <f t="shared" ref="M20" si="28">IF(L20="","",IF(L20="Leve",0.2,IF(L20="Menor",0.4,IF(L20="Moderado",0.6,IF(L20="Mayor",0.8,IF(L20="Catastrófico",1,))))))</f>
        <v/>
      </c>
      <c r="N20" s="227" t="str">
        <f t="shared" ref="N20" si="29">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23">
        <v>1</v>
      </c>
      <c r="P20" s="24"/>
      <c r="Q20" s="24"/>
      <c r="R20" s="23" t="str">
        <f t="shared" si="0"/>
        <v/>
      </c>
      <c r="S20" s="12"/>
      <c r="T20" s="12"/>
      <c r="U20" s="25" t="str">
        <f>IF(AND(S20="Preventivo",T20="Automático"),"50%",IF(AND(S20="Preventivo",T20="Manual"),"40%",IF(AND(S20="Detectivo",T20="Automático"),"40%",IF(AND(S20="Detectivo",T20="Manual"),"30%",IF(AND(S20="Correctivo",T20="Automático"),"35%",IF(AND(S20="Correctivo",T20="Manual"),"25%",""))))))</f>
        <v/>
      </c>
      <c r="V20" s="12"/>
      <c r="W20" s="12"/>
      <c r="X20" s="12"/>
      <c r="Y20" s="26" t="str">
        <f t="shared" si="9"/>
        <v/>
      </c>
      <c r="Z20" s="19" t="str">
        <f>IFERROR(IF(Y20="","",IF(Y20&lt;=0.2,"Muy Baja",IF(Y20&lt;=0.4,"Baja",IF(Y20&lt;=0.6,"Media",IF(Y20&lt;=0.8,"Alta","Muy Alta"))))),"")</f>
        <v/>
      </c>
      <c r="AA20" s="25" t="str">
        <f>+Y20</f>
        <v/>
      </c>
      <c r="AB20" s="19" t="str">
        <f>IFERROR(IF(AC20="","",IF(AC20&lt;=0.2,"Leve",IF(AC20&lt;=0.4,"Menor",IF(AC20&lt;=0.6,"Moderado",IF(AC20&lt;=0.8,"Mayor","Catastrófico"))))),"")</f>
        <v/>
      </c>
      <c r="AC20" s="25" t="str">
        <f t="shared" si="4"/>
        <v/>
      </c>
      <c r="AD20" s="2"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31"/>
      <c r="B21" s="232"/>
      <c r="C21" s="232"/>
      <c r="D21" s="232"/>
      <c r="E21" s="233"/>
      <c r="F21" s="232"/>
      <c r="G21" s="232"/>
      <c r="H21" s="226"/>
      <c r="I21" s="225"/>
      <c r="J21" s="224"/>
      <c r="K21" s="225">
        <f ca="1">IF(NOT(ISERROR(MATCH(J21,_xlfn.ANCHORARRAY(E23),0))),#REF!&amp;"Por favor no seleccionar los criterios de impacto",J21)</f>
        <v>0</v>
      </c>
      <c r="L21" s="226"/>
      <c r="M21" s="225"/>
      <c r="N21" s="227"/>
      <c r="O21" s="23">
        <v>2</v>
      </c>
      <c r="P21" s="24"/>
      <c r="Q21" s="24"/>
      <c r="R21" s="23" t="str">
        <f t="shared" si="0"/>
        <v/>
      </c>
      <c r="S21" s="12"/>
      <c r="T21" s="12"/>
      <c r="U21" s="25" t="str">
        <f t="shared" ref="U21" si="30">IF(AND(S21="Preventivo",T21="Automático"),"50%",IF(AND(S21="Preventivo",T21="Manual"),"40%",IF(AND(S21="Detectivo",T21="Automático"),"40%",IF(AND(S21="Detectivo",T21="Manual"),"30%",IF(AND(S21="Correctivo",T21="Automático"),"35%",IF(AND(S21="Correctivo",T21="Manual"),"25%",""))))))</f>
        <v/>
      </c>
      <c r="V21" s="12"/>
      <c r="W21" s="12"/>
      <c r="X21" s="12"/>
      <c r="Y21" s="26" t="str">
        <f t="shared" si="9"/>
        <v/>
      </c>
      <c r="Z21" s="19" t="str">
        <f t="shared" si="11"/>
        <v/>
      </c>
      <c r="AA21" s="25" t="str">
        <f t="shared" ref="AA21" si="31">+Y21</f>
        <v/>
      </c>
      <c r="AB21" s="19" t="str">
        <f t="shared" si="13"/>
        <v/>
      </c>
      <c r="AC21" s="25" t="str">
        <f t="shared" si="4"/>
        <v/>
      </c>
      <c r="AD21" s="2" t="str">
        <f t="shared" ref="AD21" si="32">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28" t="s">
        <v>97</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30"/>
    </row>
    <row r="23" spans="1:37">
      <c r="A23" s="28"/>
      <c r="B23" s="29" t="s">
        <v>98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row>
    <row r="24" spans="1:37" ht="16.5">
      <c r="A24" s="3"/>
      <c r="B24" s="3"/>
      <c r="C24" s="3"/>
      <c r="D24" s="3"/>
      <c r="E24" s="5"/>
      <c r="F24" s="3"/>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21">
    <mergeCell ref="A22:AK22"/>
    <mergeCell ref="I20:I21"/>
    <mergeCell ref="J20:J21"/>
    <mergeCell ref="K20:K21"/>
    <mergeCell ref="L20:L21"/>
    <mergeCell ref="M20:M21"/>
    <mergeCell ref="N20:N21"/>
    <mergeCell ref="M18:M19"/>
    <mergeCell ref="N18:N19"/>
    <mergeCell ref="A20:A21"/>
    <mergeCell ref="B20:B21"/>
    <mergeCell ref="C20:C21"/>
    <mergeCell ref="D20:D21"/>
    <mergeCell ref="E20:E21"/>
    <mergeCell ref="F20:F21"/>
    <mergeCell ref="G20:G21"/>
    <mergeCell ref="H20:H21"/>
    <mergeCell ref="G18:G19"/>
    <mergeCell ref="H18:H19"/>
    <mergeCell ref="I18:I19"/>
    <mergeCell ref="J18:J19"/>
    <mergeCell ref="K18:K19"/>
    <mergeCell ref="L18:L19"/>
    <mergeCell ref="A18:A19"/>
    <mergeCell ref="B18:B19"/>
    <mergeCell ref="C18:C19"/>
    <mergeCell ref="D18:D19"/>
    <mergeCell ref="E18:E19"/>
    <mergeCell ref="F18:F19"/>
    <mergeCell ref="I16:I17"/>
    <mergeCell ref="J16:J17"/>
    <mergeCell ref="K16:K17"/>
    <mergeCell ref="L16:L17"/>
    <mergeCell ref="M16:M17"/>
    <mergeCell ref="N16:N17"/>
    <mergeCell ref="M11:M12"/>
    <mergeCell ref="N11:N12"/>
    <mergeCell ref="A16:A17"/>
    <mergeCell ref="B16:B17"/>
    <mergeCell ref="C16:C17"/>
    <mergeCell ref="D16:D17"/>
    <mergeCell ref="E16:E17"/>
    <mergeCell ref="F16:F17"/>
    <mergeCell ref="G16:G17"/>
    <mergeCell ref="H16:H17"/>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H16 H18 H20">
    <cfRule type="cellIs" dxfId="230" priority="109" operator="equal">
      <formula>"Muy Alta"</formula>
    </cfRule>
    <cfRule type="cellIs" dxfId="229" priority="110" operator="equal">
      <formula>"Alta"</formula>
    </cfRule>
    <cfRule type="cellIs" dxfId="228" priority="111" operator="equal">
      <formula>"Media"</formula>
    </cfRule>
    <cfRule type="cellIs" dxfId="227" priority="112" operator="equal">
      <formula>"Baja"</formula>
    </cfRule>
    <cfRule type="cellIs" dxfId="226" priority="113" operator="equal">
      <formula>"Muy Baja"</formula>
    </cfRule>
  </conditionalFormatting>
  <conditionalFormatting sqref="K9:K21">
    <cfRule type="containsText" dxfId="225" priority="1" operator="containsText" text="❌">
      <formula>NOT(ISERROR(SEARCH("❌",K9)))</formula>
    </cfRule>
  </conditionalFormatting>
  <conditionalFormatting sqref="L9 L11 L13:L16 L18 L20">
    <cfRule type="cellIs" dxfId="224" priority="104" operator="equal">
      <formula>"Catastrófico"</formula>
    </cfRule>
    <cfRule type="cellIs" dxfId="223" priority="105" operator="equal">
      <formula>"Mayor"</formula>
    </cfRule>
    <cfRule type="cellIs" dxfId="222" priority="106" operator="equal">
      <formula>"Moderado"</formula>
    </cfRule>
    <cfRule type="cellIs" dxfId="221" priority="107" operator="equal">
      <formula>"Menor"</formula>
    </cfRule>
    <cfRule type="cellIs" dxfId="220" priority="108" operator="equal">
      <formula>"Leve"</formula>
    </cfRule>
  </conditionalFormatting>
  <conditionalFormatting sqref="N9 N11 N13:N16 N18 N20">
    <cfRule type="cellIs" dxfId="219" priority="100" operator="equal">
      <formula>"Extremo"</formula>
    </cfRule>
    <cfRule type="cellIs" dxfId="218" priority="101" operator="equal">
      <formula>"Alto"</formula>
    </cfRule>
    <cfRule type="cellIs" dxfId="217" priority="102" operator="equal">
      <formula>"Moderado"</formula>
    </cfRule>
    <cfRule type="cellIs" dxfId="216" priority="103" operator="equal">
      <formula>"Bajo"</formula>
    </cfRule>
  </conditionalFormatting>
  <conditionalFormatting sqref="Z9:Z21">
    <cfRule type="cellIs" dxfId="215" priority="11" operator="equal">
      <formula>"Muy Alta"</formula>
    </cfRule>
    <cfRule type="cellIs" dxfId="214" priority="12" operator="equal">
      <formula>"Alta"</formula>
    </cfRule>
    <cfRule type="cellIs" dxfId="213" priority="13" operator="equal">
      <formula>"Media"</formula>
    </cfRule>
    <cfRule type="cellIs" dxfId="212" priority="14" operator="equal">
      <formula>"Baja"</formula>
    </cfRule>
    <cfRule type="cellIs" dxfId="211" priority="15" operator="equal">
      <formula>"Muy Baja"</formula>
    </cfRule>
  </conditionalFormatting>
  <conditionalFormatting sqref="AB9:AB21">
    <cfRule type="cellIs" dxfId="210" priority="6" operator="equal">
      <formula>"Catastrófico"</formula>
    </cfRule>
    <cfRule type="cellIs" dxfId="209" priority="7" operator="equal">
      <formula>"Mayor"</formula>
    </cfRule>
    <cfRule type="cellIs" dxfId="208" priority="8" operator="equal">
      <formula>"Moderado"</formula>
    </cfRule>
    <cfRule type="cellIs" dxfId="207" priority="9" operator="equal">
      <formula>"Menor"</formula>
    </cfRule>
    <cfRule type="cellIs" dxfId="206" priority="10" operator="equal">
      <formula>"Leve"</formula>
    </cfRule>
  </conditionalFormatting>
  <conditionalFormatting sqref="AD9:AD21">
    <cfRule type="cellIs" dxfId="205" priority="2" operator="equal">
      <formula>"Extremo"</formula>
    </cfRule>
    <cfRule type="cellIs" dxfId="204" priority="3" operator="equal">
      <formula>"Alto"</formula>
    </cfRule>
    <cfRule type="cellIs" dxfId="203" priority="4" operator="equal">
      <formula>"Moderado"</formula>
    </cfRule>
    <cfRule type="cellIs" dxfId="202" priority="5" operator="equal">
      <formula>"Bajo"</formula>
    </cfRule>
  </conditionalFormatting>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378E-AB6E-497C-9D27-22955D914F9B}">
  <sheetPr>
    <tabColor theme="7" tint="-0.249977111117893"/>
  </sheetPr>
  <dimension ref="A1:AK27"/>
  <sheetViews>
    <sheetView topLeftCell="A11" workbookViewId="0">
      <selection activeCell="F13" sqref="F13:F14"/>
    </sheetView>
  </sheetViews>
  <sheetFormatPr baseColWidth="10" defaultRowHeight="15"/>
  <cols>
    <col min="1" max="1" width="4" bestFit="1" customWidth="1"/>
    <col min="2" max="2" width="14.140625" customWidth="1"/>
    <col min="3" max="3" width="20.28515625" customWidth="1"/>
    <col min="4" max="4" width="21.85546875" customWidth="1"/>
    <col min="5" max="5" width="53.28515625" customWidth="1"/>
    <col min="6" max="6" width="19" customWidth="1"/>
    <col min="7" max="7" width="41" customWidth="1"/>
    <col min="8" max="8" width="16.5703125" customWidth="1"/>
    <col min="9" max="9" width="6.28515625" bestFit="1" customWidth="1"/>
    <col min="10" max="10" width="27.28515625" bestFit="1" customWidth="1"/>
    <col min="11" max="11" width="39.140625" customWidth="1"/>
    <col min="12" max="12" width="17.5703125" customWidth="1"/>
    <col min="13" max="13" width="6.28515625" bestFit="1" customWidth="1"/>
    <col min="14" max="14" width="16" customWidth="1"/>
    <col min="15" max="15" width="5.85546875" customWidth="1"/>
    <col min="16" max="16" width="42.28515625" customWidth="1"/>
    <col min="17" max="17" width="31" customWidth="1"/>
    <col min="18" max="18" width="15.140625" bestFit="1" customWidth="1"/>
    <col min="19" max="19" width="6.85546875" customWidth="1"/>
    <col min="20" max="20" width="5" customWidth="1"/>
    <col min="21" max="21" width="5.5703125" customWidth="1"/>
    <col min="22" max="22" width="7.85546875" customWidth="1"/>
    <col min="23" max="23" width="6.7109375" customWidth="1"/>
    <col min="24" max="24" width="7.5703125" customWidth="1"/>
    <col min="25" max="25" width="13.42578125" customWidth="1"/>
    <col min="26" max="26" width="8.7109375" customWidth="1"/>
    <col min="27" max="27" width="10.42578125" customWidth="1"/>
    <col min="28" max="28" width="10.28515625" customWidth="1"/>
    <col min="29" max="29" width="9.140625" customWidth="1"/>
    <col min="30" max="30" width="11.85546875" customWidth="1"/>
    <col min="31" max="31" width="7.28515625" customWidth="1"/>
    <col min="32" max="32" width="23" customWidth="1"/>
    <col min="33" max="33" width="18.85546875" customWidth="1"/>
    <col min="34" max="34" width="16.85546875" customWidth="1"/>
    <col min="35" max="35" width="14.85546875" customWidth="1"/>
    <col min="36" max="36" width="18.5703125" customWidth="1"/>
    <col min="37" max="37" width="21"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t="s">
        <v>544</v>
      </c>
      <c r="D5" s="255"/>
      <c r="E5" s="255"/>
      <c r="F5" s="255"/>
      <c r="G5" s="255"/>
      <c r="H5" s="256" t="s">
        <v>7</v>
      </c>
      <c r="I5" s="256"/>
      <c r="J5" s="255" t="s">
        <v>545</v>
      </c>
      <c r="K5" s="255"/>
      <c r="L5" s="255"/>
      <c r="M5" s="255"/>
      <c r="N5" s="255"/>
      <c r="O5" s="256" t="s">
        <v>9</v>
      </c>
      <c r="P5" s="256"/>
      <c r="Q5" s="406" t="s">
        <v>546</v>
      </c>
      <c r="R5" s="407"/>
      <c r="S5" s="407"/>
      <c r="T5" s="407"/>
      <c r="U5" s="407"/>
      <c r="V5" s="407"/>
      <c r="W5" s="407"/>
      <c r="X5" s="407"/>
      <c r="Y5" s="407"/>
      <c r="Z5" s="407"/>
      <c r="AA5" s="407"/>
      <c r="AB5" s="407"/>
      <c r="AC5" s="407"/>
      <c r="AD5" s="407"/>
      <c r="AE5" s="408"/>
      <c r="AF5" s="183" t="s">
        <v>11</v>
      </c>
      <c r="AG5" s="406" t="s">
        <v>547</v>
      </c>
      <c r="AH5" s="407"/>
      <c r="AI5" s="407"/>
      <c r="AJ5" s="407"/>
      <c r="AK5" s="40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5"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5"/>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127.5">
      <c r="A9" s="231">
        <v>1</v>
      </c>
      <c r="B9" s="232" t="s">
        <v>71</v>
      </c>
      <c r="C9" s="232" t="s">
        <v>548</v>
      </c>
      <c r="D9" s="232" t="s">
        <v>549</v>
      </c>
      <c r="E9" s="233" t="s">
        <v>550</v>
      </c>
      <c r="F9" s="232" t="s">
        <v>56</v>
      </c>
      <c r="G9" s="232" t="s">
        <v>85</v>
      </c>
      <c r="H9" s="226" t="str">
        <f>IF(G9="","",IF('[25]Mapa final'!G9='[25]Tabla probabilidad'!$C$4,"MUY BAJA",IF('[25]Mapa final'!G9='[25]Tabla probabilidad'!$C$5,"BAJA",IF('[25]Mapa final'!G9='[25]Tabla probabilidad'!$C$6,"MEDIA",IF('[25]Mapa final'!G9='[25]Tabla probabilidad'!$C$7,"ALTA",IF('[25]Mapa final'!G9='[25]Tabla probabilidad'!$C$8,"MUY ALTA"))))))</f>
        <v>BAJA</v>
      </c>
      <c r="I9" s="225">
        <f t="shared" ref="I9" si="0">IF(H9="","",IF(H9="Muy Baja",0.2,IF(H9="Baja",0.4,IF(H9="Media",0.6,IF(H9="Alta",0.8,IF(H9="Muy Alta",1,))))))</f>
        <v>0.4</v>
      </c>
      <c r="J9" s="224" t="s">
        <v>328</v>
      </c>
      <c r="K9" s="225" t="str">
        <f>IF(J9="","",IF(NOT(ISERROR(MATCH(J9,'[25]Tabla Impacto'!$B$37:$B$39,0))),'[25]Tabla Impacto'!$F$37&amp;"Por favor no seleccionar los criterios de impacto(Afectación Económica o presupuestal y Pérdida Reputacional)",J9))</f>
        <v xml:space="preserve">     El riesgo afecta la imagen de alguna área de la organización</v>
      </c>
      <c r="L9" s="226" t="str">
        <f>IF(OR(J9='[25]Tabla Impacto'!$F$25,J9='[25]Tabla Impacto'!$F$31),"Leve",IF(OR(J9='[25]Tabla Impacto'!$F$26,J9='[25]Tabla Impacto'!$F$32),"Menor",IF(OR(J9='[25]Tabla Impacto'!$F$27,J9='[25]Tabla Impacto'!$F$33,J9='[25]Tabla Impacto'!$F$37),"Moderado",IF(OR(J9='[25]Tabla Impacto'!$F$28,J9='[25]Tabla Impacto'!$F$34,J9='[25]Tabla Impacto'!$F$38),"Mayor",IF(OR(J9='[25]Tabla Impacto'!$F$29,J9='[25]Tabla Impacto'!$F$35,J9='[25]Tabla Impacto'!$F$39),"Catastrófico","")))))</f>
        <v>Leve</v>
      </c>
      <c r="M9" s="225">
        <f t="shared" ref="M9" si="1">IF(L9="","",IF(L9="Leve",0.2,IF(L9="Menor",0.4,IF(L9="Moderado",0.6,IF(L9="Mayor",0.8,IF(L9="Catastrófico",1,))))))</f>
        <v>0.2</v>
      </c>
      <c r="N9" s="227"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551</v>
      </c>
      <c r="Q9" s="24" t="s">
        <v>552</v>
      </c>
      <c r="R9" s="23" t="str">
        <f t="shared" ref="R9" si="3">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228</v>
      </c>
      <c r="Y9" s="26">
        <f t="shared" ref="Y9:Y14" si="4">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 t="shared" ref="AC9:AC14" si="5">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66</v>
      </c>
      <c r="AF9" s="18"/>
      <c r="AG9" s="12"/>
      <c r="AH9" s="27"/>
      <c r="AI9" s="27"/>
      <c r="AJ9" s="18"/>
      <c r="AK9" s="12"/>
    </row>
    <row r="10" spans="1:37" ht="140.25">
      <c r="A10" s="231"/>
      <c r="B10" s="232"/>
      <c r="C10" s="232"/>
      <c r="D10" s="232"/>
      <c r="E10" s="233"/>
      <c r="F10" s="232"/>
      <c r="G10" s="232"/>
      <c r="H10" s="226"/>
      <c r="I10" s="225"/>
      <c r="J10" s="224"/>
      <c r="K10" s="225">
        <f ca="1">IF(NOT(ISERROR(MATCH(J10,_xlfn.ANCHORARRAY(E13),0))),#REF!&amp;"Por favor no seleccionar los criterios de impacto",J10)</f>
        <v>0</v>
      </c>
      <c r="L10" s="226"/>
      <c r="M10" s="225"/>
      <c r="N10" s="227"/>
      <c r="O10" s="23">
        <v>2</v>
      </c>
      <c r="P10" s="24" t="s">
        <v>553</v>
      </c>
      <c r="Q10" s="24" t="s">
        <v>554</v>
      </c>
      <c r="R10" s="23" t="str">
        <f>IF(OR(S10="Preventivo",S10="Detectivo"),"Probabilidad",IF(S10="Correctivo","Impacto",""))</f>
        <v>Probabilidad</v>
      </c>
      <c r="S10" s="12" t="s">
        <v>61</v>
      </c>
      <c r="T10" s="12" t="s">
        <v>62</v>
      </c>
      <c r="U10" s="25" t="str">
        <f t="shared" ref="U10" si="6">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si="4"/>
        <v>0</v>
      </c>
      <c r="Z10" s="19" t="str">
        <f t="shared" ref="Z10" si="7">IFERROR(IF(Y10="","",IF(Y10&lt;=0.2,"Muy Baja",IF(Y10&lt;=0.4,"Baja",IF(Y10&lt;=0.6,"Media",IF(Y10&lt;=0.8,"Alta","Muy Alta"))))),"")</f>
        <v>Muy Baja</v>
      </c>
      <c r="AA10" s="25">
        <f t="shared" ref="AA10" si="8">+Y10</f>
        <v>0</v>
      </c>
      <c r="AB10" s="19" t="str">
        <f t="shared" ref="AB10"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18"/>
      <c r="AG10" s="12"/>
      <c r="AH10" s="27"/>
      <c r="AI10" s="27"/>
      <c r="AJ10" s="18"/>
      <c r="AK10" s="12"/>
    </row>
    <row r="11" spans="1:37" ht="51">
      <c r="A11" s="231">
        <v>2</v>
      </c>
      <c r="B11" s="232" t="s">
        <v>71</v>
      </c>
      <c r="C11" s="232" t="s">
        <v>555</v>
      </c>
      <c r="D11" s="232" t="s">
        <v>556</v>
      </c>
      <c r="E11" s="233" t="s">
        <v>557</v>
      </c>
      <c r="F11" s="232" t="s">
        <v>56</v>
      </c>
      <c r="G11" s="232" t="s">
        <v>85</v>
      </c>
      <c r="H11" s="226" t="str">
        <f>IF(G11="","",IF('[25]Mapa final'!G11='[25]Tabla probabilidad'!$C$4,"MUY BAJA",IF('[25]Mapa final'!G11='[25]Tabla probabilidad'!$C$5,"BAJA",IF('[25]Mapa final'!G11='[25]Tabla probabilidad'!$C$6,"MEDIA",IF('[25]Mapa final'!G11='[25]Tabla probabilidad'!$C$7,"ALTA",IF('[25]Mapa final'!G11='[25]Tabla probabilidad'!$C$8,"MUY ALTA"))))))</f>
        <v>BAJA</v>
      </c>
      <c r="I11" s="225">
        <f t="shared" ref="I11" si="11">IF(H11="","",IF(H11="Muy Baja",0.2,IF(H11="Baja",0.4,IF(H11="Media",0.6,IF(H11="Alta",0.8,IF(H11="Muy Alta",1,))))))</f>
        <v>0.4</v>
      </c>
      <c r="J11" s="224" t="s">
        <v>328</v>
      </c>
      <c r="K11" s="225" t="str">
        <f>IF(J11="","",IF(NOT(ISERROR(MATCH(J11,'[25]Tabla Impacto'!$B$37:$B$39,0))),'[25]Tabla Impacto'!$F$37&amp;"Por favor no seleccionar los criterios de impacto(Afectación Económica o presupuestal y Pérdida Reputacional)",J11))</f>
        <v xml:space="preserve">     El riesgo afecta la imagen de alguna área de la organización</v>
      </c>
      <c r="L11" s="226" t="str">
        <f>IF(OR(J11='[25]Tabla Impacto'!$F$25,J11='[25]Tabla Impacto'!$F$31),"Leve",IF(OR(J11='[25]Tabla Impacto'!$F$26,J11='[25]Tabla Impacto'!$F$32),"Menor",IF(OR(J11='[25]Tabla Impacto'!$F$27,J11='[25]Tabla Impacto'!$F$33,J11='[25]Tabla Impacto'!$F$37),"Moderado",IF(OR(J11='[25]Tabla Impacto'!$F$28,J11='[25]Tabla Impacto'!$F$34,J11='[25]Tabla Impacto'!$F$38),"Mayor",IF(OR(J11='[25]Tabla Impacto'!$F$29,J11='[25]Tabla Impacto'!$F$35,J11='[25]Tabla Impacto'!$F$39),"Catastrófico","")))))</f>
        <v>Leve</v>
      </c>
      <c r="M11" s="225">
        <f t="shared" ref="M11" si="12">IF(L11="","",IF(L11="Leve",0.2,IF(L11="Menor",0.4,IF(L11="Moderado",0.6,IF(L11="Mayor",0.8,IF(L11="Catastrófico",1,))))))</f>
        <v>0.2</v>
      </c>
      <c r="N11" s="227" t="str">
        <f t="shared" ref="N11" si="13">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23">
        <v>1</v>
      </c>
      <c r="P11" s="24" t="s">
        <v>558</v>
      </c>
      <c r="Q11" s="24" t="s">
        <v>559</v>
      </c>
      <c r="R11" s="23" t="str">
        <f>IF(OR(S11="Preventivo",S11="Detectivo"),"Probabilidad",IF(S11="Correctivo","Impacto",""))</f>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0.24</v>
      </c>
      <c r="Z11" s="19" t="str">
        <f>IFERROR(IF(Y11="","",IF(Y11&lt;=0.2,"Muy Baja",IF(Y11&lt;=0.4,"Baja",IF(Y11&lt;=0.6,"Media",IF(Y11&lt;=0.8,"Alta","Muy Alta"))))),"")</f>
        <v>Baja</v>
      </c>
      <c r="AA11" s="25">
        <f>+Y11</f>
        <v>0.24</v>
      </c>
      <c r="AB11" s="19" t="str">
        <f>IFERROR(IF(AC11="","",IF(AC11&lt;=0.2,"Leve",IF(AC11&lt;=0.4,"Menor",IF(AC11&lt;=0.6,"Moderado",IF(AC11&lt;=0.8,"Mayor","Catastrófico"))))),"")</f>
        <v>Leve</v>
      </c>
      <c r="AC11" s="25">
        <f t="shared" si="5"/>
        <v>0.2</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66</v>
      </c>
      <c r="AF11" s="18"/>
      <c r="AG11" s="12"/>
      <c r="AH11" s="27"/>
      <c r="AI11" s="27"/>
      <c r="AJ11" s="18"/>
      <c r="AK11" s="12"/>
    </row>
    <row r="12" spans="1:37" ht="51">
      <c r="A12" s="231"/>
      <c r="B12" s="232"/>
      <c r="C12" s="232"/>
      <c r="D12" s="232"/>
      <c r="E12" s="233"/>
      <c r="F12" s="232"/>
      <c r="G12" s="232"/>
      <c r="H12" s="226"/>
      <c r="I12" s="225"/>
      <c r="J12" s="224"/>
      <c r="K12" s="225">
        <f ca="1">IF(NOT(ISERROR(MATCH(J12,_xlfn.ANCHORARRAY(E15),0))),#REF!&amp;"Por favor no seleccionar los criterios de impacto",J12)</f>
        <v>0</v>
      </c>
      <c r="L12" s="226"/>
      <c r="M12" s="225"/>
      <c r="N12" s="227"/>
      <c r="O12" s="23">
        <v>2</v>
      </c>
      <c r="P12" s="24" t="s">
        <v>560</v>
      </c>
      <c r="Q12" s="24" t="s">
        <v>561</v>
      </c>
      <c r="R12" s="23" t="str">
        <f>IF(OR(S12="Preventivo",S12="Detectivo"),"Probabilidad",IF(S12="Correctivo","Impacto",""))</f>
        <v>Probabilidad</v>
      </c>
      <c r="S12" s="12" t="s">
        <v>61</v>
      </c>
      <c r="T12" s="12" t="s">
        <v>62</v>
      </c>
      <c r="U12" s="25" t="str">
        <f t="shared" ref="U12" si="14">IF(AND(S12="Preventivo",T12="Automático"),"50%",IF(AND(S12="Preventivo",T12="Manual"),"40%",IF(AND(S12="Detectivo",T12="Automático"),"40%",IF(AND(S12="Detectivo",T12="Manual"),"30%",IF(AND(S12="Correctivo",T12="Automático"),"35%",IF(AND(S12="Correctivo",T12="Manual"),"25%",""))))))</f>
        <v>40%</v>
      </c>
      <c r="V12" s="12" t="s">
        <v>70</v>
      </c>
      <c r="W12" s="12" t="s">
        <v>64</v>
      </c>
      <c r="X12" s="12" t="s">
        <v>65</v>
      </c>
      <c r="Y12" s="26">
        <f t="shared" si="4"/>
        <v>0</v>
      </c>
      <c r="Z12" s="19" t="str">
        <f t="shared" ref="Z12" si="15">IFERROR(IF(Y12="","",IF(Y12&lt;=0.2,"Muy Baja",IF(Y12&lt;=0.4,"Baja",IF(Y12&lt;=0.6,"Media",IF(Y12&lt;=0.8,"Alta","Muy Alta"))))),"")</f>
        <v>Muy Baja</v>
      </c>
      <c r="AA12" s="25">
        <f t="shared" ref="AA12" si="16">+Y12</f>
        <v>0</v>
      </c>
      <c r="AB12" s="19" t="str">
        <f t="shared" ref="AB12" si="17">IFERROR(IF(AC12="","",IF(AC12&lt;=0.2,"Leve",IF(AC12&lt;=0.4,"Menor",IF(AC12&lt;=0.6,"Moderado",IF(AC12&lt;=0.8,"Mayor","Catastrófico"))))),"")</f>
        <v>Leve</v>
      </c>
      <c r="AC12" s="25">
        <f t="shared" si="5"/>
        <v>0</v>
      </c>
      <c r="AD12" s="2" t="str">
        <f t="shared" ref="AD12" si="1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c r="AG12" s="12"/>
      <c r="AH12" s="27"/>
      <c r="AI12" s="27"/>
      <c r="AJ12" s="18"/>
      <c r="AK12" s="12"/>
    </row>
    <row r="13" spans="1:37" ht="69" customHeight="1">
      <c r="A13" s="231">
        <v>3</v>
      </c>
      <c r="B13" s="232" t="s">
        <v>140</v>
      </c>
      <c r="C13" s="232" t="s">
        <v>562</v>
      </c>
      <c r="D13" s="232" t="s">
        <v>563</v>
      </c>
      <c r="E13" s="233" t="s">
        <v>564</v>
      </c>
      <c r="F13" s="232" t="s">
        <v>277</v>
      </c>
      <c r="G13" s="232" t="s">
        <v>85</v>
      </c>
      <c r="H13" s="226" t="str">
        <f>IF(G13="","",IF('[25]Mapa final'!G13='[25]Tabla probabilidad'!$C$4,"MUY BAJA",IF('[25]Mapa final'!G13='[25]Tabla probabilidad'!$C$5,"BAJA",IF('[25]Mapa final'!G13='[25]Tabla probabilidad'!$C$6,"MEDIA",IF('[25]Mapa final'!G13='[25]Tabla probabilidad'!$C$7,"ALTA",IF('[25]Mapa final'!G13='[25]Tabla probabilidad'!$C$8,"MUY ALTA"))))))</f>
        <v>BAJA</v>
      </c>
      <c r="I13" s="225">
        <f t="shared" ref="I13" si="19">IF(H13="","",IF(H13="Muy Baja",0.2,IF(H13="Baja",0.4,IF(H13="Media",0.6,IF(H13="Alta",0.8,IF(H13="Muy Alta",1,))))))</f>
        <v>0.4</v>
      </c>
      <c r="J13" s="224" t="s">
        <v>135</v>
      </c>
      <c r="K13" s="225" t="str">
        <f>IF(J13="","",IF(NOT(ISERROR(MATCH(J13,'[25]Tabla Impacto'!$B$37:$B$39,0))),'[25]Tabla Impacto'!$F$37&amp;"Por favor no seleccionar los criterios de impacto(Afectación Económica o presupuestal y Pérdida Reputacional)",J13))</f>
        <v xml:space="preserve">     Entre 10 y 50 SMLMV </v>
      </c>
      <c r="L13" s="226" t="str">
        <f>IF(OR(J13='[25]Tabla Impacto'!$F$25,J13='[25]Tabla Impacto'!$F$31),"Leve",IF(OR(J13='[25]Tabla Impacto'!$F$26,J13='[25]Tabla Impacto'!$F$32),"Menor",IF(OR(J13='[25]Tabla Impacto'!$F$27,J13='[25]Tabla Impacto'!$F$33,J13='[25]Tabla Impacto'!$F$37),"Moderado",IF(OR(J13='[25]Tabla Impacto'!$F$28,J13='[25]Tabla Impacto'!$F$34,J13='[25]Tabla Impacto'!$F$38),"Mayor",IF(OR(J13='[25]Tabla Impacto'!$F$29,J13='[25]Tabla Impacto'!$F$35,J13='[25]Tabla Impacto'!$F$39),"Catastrófico","")))))</f>
        <v>Menor</v>
      </c>
      <c r="M13" s="225">
        <f t="shared" ref="M13" si="20">IF(L13="","",IF(L13="Leve",0.2,IF(L13="Menor",0.4,IF(L13="Moderado",0.6,IF(L13="Mayor",0.8,IF(L13="Catastrófico",1,))))))</f>
        <v>0.4</v>
      </c>
      <c r="N13" s="227" t="str">
        <f t="shared" ref="N13" si="21">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565</v>
      </c>
      <c r="Q13" s="24" t="s">
        <v>566</v>
      </c>
      <c r="R13" s="23" t="str">
        <f t="shared" ref="R13:R14" si="22">IF(OR(S13="Preventivo",S13="Detectivo"),"Probabilidad",IF(S13="Correctivo","Impacto",""))</f>
        <v>Probabilidad</v>
      </c>
      <c r="S13" s="12" t="s">
        <v>61</v>
      </c>
      <c r="T13" s="12" t="s">
        <v>260</v>
      </c>
      <c r="U13" s="25" t="str">
        <f>IF(AND(S13="Preventivo",T13="Automático"),"50%",IF(AND(S13="Preventivo",T13="Manual"),"40%",IF(AND(S13="Detectivo",T13="Automático"),"40%",IF(AND(S13="Detectivo",T13="Manual"),"30%",IF(AND(S13="Correctivo",T13="Automático"),"35%",IF(AND(S13="Correctivo",T13="Manual"),"25%",""))))))</f>
        <v>50%</v>
      </c>
      <c r="V13" s="12" t="s">
        <v>70</v>
      </c>
      <c r="W13" s="12" t="s">
        <v>64</v>
      </c>
      <c r="X13" s="12" t="s">
        <v>65</v>
      </c>
      <c r="Y13" s="26">
        <f t="shared" si="4"/>
        <v>0.2</v>
      </c>
      <c r="Z13" s="19" t="str">
        <f>IFERROR(IF(Y13="","",IF(Y13&lt;=0.2,"Muy Baja",IF(Y13&lt;=0.4,"Baja",IF(Y13&lt;=0.6,"Media",IF(Y13&lt;=0.8,"Alta","Muy Alta"))))),"")</f>
        <v>Muy Baja</v>
      </c>
      <c r="AA13" s="25">
        <f>+Y13</f>
        <v>0.2</v>
      </c>
      <c r="AB13" s="19" t="str">
        <f>IFERROR(IF(AC13="","",IF(AC13&lt;=0.2,"Leve",IF(AC13&lt;=0.4,"Menor",IF(AC13&lt;=0.6,"Moderado",IF(AC13&lt;=0.8,"Mayor","Catastrófico"))))),"")</f>
        <v>Menor</v>
      </c>
      <c r="AC13" s="25">
        <f t="shared" si="5"/>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c r="AF13" s="18"/>
      <c r="AG13" s="12"/>
      <c r="AH13" s="27"/>
      <c r="AI13" s="27"/>
      <c r="AJ13" s="18"/>
      <c r="AK13" s="12"/>
    </row>
    <row r="14" spans="1:37" ht="63.75" customHeight="1">
      <c r="A14" s="231"/>
      <c r="B14" s="232"/>
      <c r="C14" s="232"/>
      <c r="D14" s="232"/>
      <c r="E14" s="233"/>
      <c r="F14" s="232"/>
      <c r="G14" s="232"/>
      <c r="H14" s="226"/>
      <c r="I14" s="225"/>
      <c r="J14" s="224"/>
      <c r="K14" s="225">
        <f ca="1">IF(NOT(ISERROR(MATCH(J14,_xlfn.ANCHORARRAY(E17),0))),#REF!&amp;"Por favor no seleccionar los criterios de impacto",J14)</f>
        <v>0</v>
      </c>
      <c r="L14" s="226"/>
      <c r="M14" s="225"/>
      <c r="N14" s="227"/>
      <c r="O14" s="23">
        <v>2</v>
      </c>
      <c r="P14" s="24" t="s">
        <v>567</v>
      </c>
      <c r="Q14" s="24" t="s">
        <v>568</v>
      </c>
      <c r="R14" s="23" t="str">
        <f t="shared" si="22"/>
        <v>Probabilidad</v>
      </c>
      <c r="S14" s="12" t="s">
        <v>61</v>
      </c>
      <c r="T14" s="12" t="s">
        <v>62</v>
      </c>
      <c r="U14" s="25" t="str">
        <f t="shared" ref="U14" si="23">IF(AND(S14="Preventivo",T14="Automático"),"50%",IF(AND(S14="Preventivo",T14="Manual"),"40%",IF(AND(S14="Detectivo",T14="Automático"),"40%",IF(AND(S14="Detectivo",T14="Manual"),"30%",IF(AND(S14="Correctivo",T14="Automático"),"35%",IF(AND(S14="Correctivo",T14="Manual"),"25%",""))))))</f>
        <v>40%</v>
      </c>
      <c r="V14" s="12" t="s">
        <v>70</v>
      </c>
      <c r="W14" s="12" t="s">
        <v>64</v>
      </c>
      <c r="X14" s="12" t="s">
        <v>65</v>
      </c>
      <c r="Y14" s="26">
        <f t="shared" si="4"/>
        <v>0</v>
      </c>
      <c r="Z14" s="19" t="str">
        <f t="shared" ref="Z14" si="24">IFERROR(IF(Y14="","",IF(Y14&lt;=0.2,"Muy Baja",IF(Y14&lt;=0.4,"Baja",IF(Y14&lt;=0.6,"Media",IF(Y14&lt;=0.8,"Alta","Muy Alta"))))),"")</f>
        <v>Muy Baja</v>
      </c>
      <c r="AA14" s="25">
        <f t="shared" ref="AA14" si="25">+Y14</f>
        <v>0</v>
      </c>
      <c r="AB14" s="19" t="str">
        <f t="shared" ref="AB14" si="26">IFERROR(IF(AC14="","",IF(AC14&lt;=0.2,"Leve",IF(AC14&lt;=0.4,"Menor",IF(AC14&lt;=0.6,"Moderado",IF(AC14&lt;=0.8,"Mayor","Catastrófico"))))),"")</f>
        <v>Leve</v>
      </c>
      <c r="AC14" s="25">
        <f t="shared" si="5"/>
        <v>0</v>
      </c>
      <c r="AD14" s="2" t="str">
        <f t="shared" ref="AD14" si="27">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2"/>
      <c r="AF14" s="18"/>
      <c r="AG14" s="12"/>
      <c r="AH14" s="27"/>
      <c r="AI14" s="27"/>
      <c r="AJ14" s="18"/>
      <c r="AK14" s="12"/>
    </row>
    <row r="15" spans="1:37">
      <c r="A15" s="231">
        <v>4</v>
      </c>
      <c r="B15" s="232"/>
      <c r="C15" s="232"/>
      <c r="D15" s="232"/>
      <c r="E15" s="233"/>
      <c r="F15" s="232"/>
      <c r="G15" s="232"/>
      <c r="H15" s="226"/>
      <c r="I15" s="225"/>
      <c r="J15" s="224"/>
      <c r="K15" s="225"/>
      <c r="L15" s="226"/>
      <c r="M15" s="225"/>
      <c r="N15" s="227"/>
      <c r="O15" s="23">
        <v>1</v>
      </c>
      <c r="P15" s="24"/>
      <c r="Q15" s="24"/>
      <c r="R15" s="23"/>
      <c r="S15" s="12"/>
      <c r="T15" s="12"/>
      <c r="U15" s="25"/>
      <c r="V15" s="12"/>
      <c r="W15" s="12"/>
      <c r="X15" s="12"/>
      <c r="Y15" s="26"/>
      <c r="Z15" s="19"/>
      <c r="AA15" s="25"/>
      <c r="AB15" s="19"/>
      <c r="AC15" s="25"/>
      <c r="AD15" s="2"/>
      <c r="AE15" s="12"/>
      <c r="AF15" s="18"/>
      <c r="AG15" s="12"/>
      <c r="AH15" s="27"/>
      <c r="AI15" s="27"/>
      <c r="AJ15" s="18"/>
      <c r="AK15" s="12"/>
    </row>
    <row r="16" spans="1:37">
      <c r="A16" s="231"/>
      <c r="B16" s="232"/>
      <c r="C16" s="232"/>
      <c r="D16" s="232"/>
      <c r="E16" s="233"/>
      <c r="F16" s="232"/>
      <c r="G16" s="232"/>
      <c r="H16" s="226"/>
      <c r="I16" s="225"/>
      <c r="J16" s="224"/>
      <c r="K16" s="225"/>
      <c r="L16" s="226"/>
      <c r="M16" s="225"/>
      <c r="N16" s="227"/>
      <c r="O16" s="23">
        <v>2</v>
      </c>
      <c r="P16" s="24"/>
      <c r="Q16" s="24"/>
      <c r="R16" s="23"/>
      <c r="S16" s="12"/>
      <c r="T16" s="12"/>
      <c r="U16" s="25"/>
      <c r="V16" s="12"/>
      <c r="W16" s="12"/>
      <c r="X16" s="12"/>
      <c r="Y16" s="26"/>
      <c r="Z16" s="19"/>
      <c r="AA16" s="25"/>
      <c r="AB16" s="19"/>
      <c r="AC16" s="25"/>
      <c r="AD16" s="2"/>
      <c r="AE16" s="12"/>
      <c r="AF16" s="18"/>
      <c r="AG16" s="12"/>
      <c r="AH16" s="27"/>
      <c r="AI16" s="27"/>
      <c r="AJ16" s="18"/>
      <c r="AK16" s="12"/>
    </row>
    <row r="17" spans="1:37">
      <c r="A17" s="231">
        <v>5</v>
      </c>
      <c r="B17" s="232"/>
      <c r="C17" s="232"/>
      <c r="D17" s="232"/>
      <c r="E17" s="233"/>
      <c r="F17" s="232"/>
      <c r="G17" s="232"/>
      <c r="H17" s="226" t="str">
        <f>IF(G17="","",IF('[25]Mapa final'!G17='[25]Tabla probabilidad'!$C$4,"MUY BAJA",IF('[25]Mapa final'!G17='[25]Tabla probabilidad'!$C$5,"BAJA",IF('[25]Mapa final'!G17='[25]Tabla probabilidad'!$C$6,"MEDIA",IF('[25]Mapa final'!G17='[25]Tabla probabilidad'!$C$7,"ALTA",IF('[25]Mapa final'!G17='[25]Tabla probabilidad'!$C$8,"MUY ALTA"))))))</f>
        <v/>
      </c>
      <c r="I17" s="225" t="str">
        <f t="shared" ref="I17" si="28">IF(H17="","",IF(H17="Muy Baja",0.2,IF(H17="Baja",0.4,IF(H17="Media",0.6,IF(H17="Alta",0.8,IF(H17="Muy Alta",1,))))))</f>
        <v/>
      </c>
      <c r="J17" s="224"/>
      <c r="K17" s="225" t="str">
        <f>IF(J17="","",IF(NOT(ISERROR(MATCH(J17,'[25]Tabla Impacto'!$B$37:$B$39,0))),'[25]Tabla Impacto'!$F$37&amp;"Por favor no seleccionar los criterios de impacto(Afectación Económica o presupuestal y Pérdida Reputacional)",J17))</f>
        <v/>
      </c>
      <c r="L17" s="226" t="str">
        <f>IF(OR(J17='[25]Tabla Impacto'!$F$25,J17='[25]Tabla Impacto'!$F$31),"Leve",IF(OR(J17='[25]Tabla Impacto'!$F$26,J17='[25]Tabla Impacto'!$F$32),"Menor",IF(OR(J17='[25]Tabla Impacto'!$F$27,J17='[25]Tabla Impacto'!$F$33,J17='[25]Tabla Impacto'!$F$37),"Moderado",IF(OR(J17='[25]Tabla Impacto'!$F$28,J17='[25]Tabla Impacto'!$F$34,J17='[25]Tabla Impacto'!$F$38),"Mayor",IF(OR(J17='[25]Tabla Impacto'!$F$29,J17='[25]Tabla Impacto'!$F$35,J17='[25]Tabla Impacto'!$F$39),"Catastrófico","")))))</f>
        <v/>
      </c>
      <c r="M17" s="225" t="str">
        <f t="shared" ref="M17" si="29">IF(L17="","",IF(L17="Leve",0.2,IF(L17="Menor",0.4,IF(L17="Moderado",0.6,IF(L17="Mayor",0.8,IF(L17="Catastrófico",1,))))))</f>
        <v/>
      </c>
      <c r="N17" s="227"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ref="R17:R24" si="31">IF(OR(S17="Preventivo",S17="Detectivo"),"Probabilidad",IF(S17="Correctivo","Impacto",""))</f>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ref="Y17:Y24" si="32">IFERROR(IF(R17="Probabilidad",(I17-(+I17*U17)),IF(R17="Impacto",I17,"")),"")</f>
        <v/>
      </c>
      <c r="Z17" s="19" t="str">
        <f>IFERROR(IF(Y17="","",IF(Y17&lt;=0.2,"Muy Baja",IF(Y17&lt;=0.4,"Baja",IF(Y17&lt;=0.6,"Media",IF(Y17&lt;=0.8,"Alta","Muy Alta"))))),"")</f>
        <v/>
      </c>
      <c r="AA17" s="25" t="str">
        <f>+Y17</f>
        <v/>
      </c>
      <c r="AB17" s="19" t="str">
        <f>IFERROR(IF(AC17="","",IF(AC17&lt;=0.2,"Leve",IF(AC17&lt;=0.4,"Menor",IF(AC17&lt;=0.6,"Moderado",IF(AC17&lt;=0.8,"Mayor","Catastrófico"))))),"")</f>
        <v/>
      </c>
      <c r="AC17" s="25" t="str">
        <f t="shared" ref="AC17:AC24" si="33">IFERROR(IF(R17="Impacto",(M17-(+M17*U17)),IF(R17="Probabilidad",M17,"")),"")</f>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31"/>
      <c r="B18" s="232"/>
      <c r="C18" s="232"/>
      <c r="D18" s="232"/>
      <c r="E18" s="233"/>
      <c r="F18" s="232"/>
      <c r="G18" s="232"/>
      <c r="H18" s="226"/>
      <c r="I18" s="225"/>
      <c r="J18" s="224"/>
      <c r="K18" s="225">
        <f ca="1">IF(NOT(ISERROR(MATCH(J18,_xlfn.ANCHORARRAY(E21),0))),#REF!&amp;"Por favor no seleccionar los criterios de impacto",J18)</f>
        <v>0</v>
      </c>
      <c r="L18" s="226"/>
      <c r="M18" s="225"/>
      <c r="N18" s="227"/>
      <c r="O18" s="23">
        <v>2</v>
      </c>
      <c r="P18" s="24"/>
      <c r="Q18" s="24"/>
      <c r="R18" s="23" t="str">
        <f t="shared" si="31"/>
        <v/>
      </c>
      <c r="S18" s="12"/>
      <c r="T18" s="12"/>
      <c r="U18" s="25" t="str">
        <f t="shared" ref="U18" si="34">IF(AND(S18="Preventivo",T18="Automático"),"50%",IF(AND(S18="Preventivo",T18="Manual"),"40%",IF(AND(S18="Detectivo",T18="Automático"),"40%",IF(AND(S18="Detectivo",T18="Manual"),"30%",IF(AND(S18="Correctivo",T18="Automático"),"35%",IF(AND(S18="Correctivo",T18="Manual"),"25%",""))))))</f>
        <v/>
      </c>
      <c r="V18" s="12"/>
      <c r="W18" s="12"/>
      <c r="X18" s="12"/>
      <c r="Y18" s="26" t="str">
        <f t="shared" si="32"/>
        <v/>
      </c>
      <c r="Z18" s="19" t="str">
        <f t="shared" ref="Z18:Z24" si="35">IFERROR(IF(Y18="","",IF(Y18&lt;=0.2,"Muy Baja",IF(Y18&lt;=0.4,"Baja",IF(Y18&lt;=0.6,"Media",IF(Y18&lt;=0.8,"Alta","Muy Alta"))))),"")</f>
        <v/>
      </c>
      <c r="AA18" s="25" t="str">
        <f t="shared" ref="AA18" si="36">+Y18</f>
        <v/>
      </c>
      <c r="AB18" s="19" t="str">
        <f t="shared" ref="AB18:AB24" si="37">IFERROR(IF(AC18="","",IF(AC18&lt;=0.2,"Leve",IF(AC18&lt;=0.4,"Menor",IF(AC18&lt;=0.6,"Moderado",IF(AC18&lt;=0.8,"Mayor","Catastrófico"))))),"")</f>
        <v/>
      </c>
      <c r="AC18" s="25" t="str">
        <f t="shared" si="33"/>
        <v/>
      </c>
      <c r="AD18" s="2" t="str">
        <f t="shared" ref="AD18" si="38">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31">
        <v>6</v>
      </c>
      <c r="B19" s="232"/>
      <c r="C19" s="232"/>
      <c r="D19" s="232"/>
      <c r="E19" s="233"/>
      <c r="F19" s="232"/>
      <c r="G19" s="232"/>
      <c r="H19" s="226" t="str">
        <f>IF(G19="","",IF('[25]Mapa final'!G19='[25]Tabla probabilidad'!$C$4,"MUY BAJA",IF('[25]Mapa final'!G19='[25]Tabla probabilidad'!$C$5,"BAJA",IF('[25]Mapa final'!G19='[25]Tabla probabilidad'!$C$6,"MEDIA",IF('[25]Mapa final'!G19='[25]Tabla probabilidad'!$C$7,"ALTA",IF('[25]Mapa final'!G19='[25]Tabla probabilidad'!$C$8,"MUY ALTA"))))))</f>
        <v/>
      </c>
      <c r="I19" s="225" t="str">
        <f t="shared" ref="I19" si="39">IF(H19="","",IF(H19="Muy Baja",0.2,IF(H19="Baja",0.4,IF(H19="Media",0.6,IF(H19="Alta",0.8,IF(H19="Muy Alta",1,))))))</f>
        <v/>
      </c>
      <c r="J19" s="224"/>
      <c r="K19" s="225" t="str">
        <f>IF(J19="","",IF(NOT(ISERROR(MATCH(J19,'[25]Tabla Impacto'!$B$37:$B$39,0))),'[25]Tabla Impacto'!$F$37&amp;"Por favor no seleccionar los criterios de impacto(Afectación Económica o presupuestal y Pérdida Reputacional)",J19))</f>
        <v/>
      </c>
      <c r="L19" s="226" t="str">
        <f>IF(OR(J19='[25]Tabla Impacto'!$F$25,J19='[25]Tabla Impacto'!$F$31),"Leve",IF(OR(J19='[25]Tabla Impacto'!$F$26,J19='[25]Tabla Impacto'!$F$32),"Menor",IF(OR(J19='[25]Tabla Impacto'!$F$27,J19='[25]Tabla Impacto'!$F$33,J19='[25]Tabla Impacto'!$F$37),"Moderado",IF(OR(J19='[25]Tabla Impacto'!$F$28,J19='[25]Tabla Impacto'!$F$34,J19='[25]Tabla Impacto'!$F$38),"Mayor",IF(OR(J19='[25]Tabla Impacto'!$F$29,J19='[25]Tabla Impacto'!$F$35,J19='[25]Tabla Impacto'!$F$39),"Catastrófico","")))))</f>
        <v/>
      </c>
      <c r="M19" s="225" t="str">
        <f t="shared" ref="M19" si="40">IF(L19="","",IF(L19="Leve",0.2,IF(L19="Menor",0.4,IF(L19="Moderado",0.6,IF(L19="Mayor",0.8,IF(L19="Catastrófico",1,))))))</f>
        <v/>
      </c>
      <c r="N19" s="227" t="str">
        <f t="shared" ref="N19" si="41">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3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32"/>
        <v/>
      </c>
      <c r="Z19" s="19" t="str">
        <f>IFERROR(IF(Y19="","",IF(Y19&lt;=0.2,"Muy Baja",IF(Y19&lt;=0.4,"Baja",IF(Y19&lt;=0.6,"Media",IF(Y19&lt;=0.8,"Alta","Muy Alta"))))),"")</f>
        <v/>
      </c>
      <c r="AA19" s="25" t="str">
        <f>+Y19</f>
        <v/>
      </c>
      <c r="AB19" s="19" t="str">
        <f>IFERROR(IF(AC19="","",IF(AC19&lt;=0.2,"Leve",IF(AC19&lt;=0.4,"Menor",IF(AC19&lt;=0.6,"Moderado",IF(AC19&lt;=0.8,"Mayor","Catastrófico"))))),"")</f>
        <v/>
      </c>
      <c r="AC19" s="25" t="str">
        <f t="shared" si="33"/>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31"/>
      <c r="B20" s="232"/>
      <c r="C20" s="232"/>
      <c r="D20" s="232"/>
      <c r="E20" s="233"/>
      <c r="F20" s="232"/>
      <c r="G20" s="232"/>
      <c r="H20" s="226"/>
      <c r="I20" s="225"/>
      <c r="J20" s="224"/>
      <c r="K20" s="225">
        <f ca="1">IF(NOT(ISERROR(MATCH(J20,_xlfn.ANCHORARRAY(E23),0))),#REF!&amp;"Por favor no seleccionar los criterios de impacto",J20)</f>
        <v>0</v>
      </c>
      <c r="L20" s="226"/>
      <c r="M20" s="225"/>
      <c r="N20" s="227"/>
      <c r="O20" s="23">
        <v>2</v>
      </c>
      <c r="P20" s="24"/>
      <c r="Q20" s="24"/>
      <c r="R20" s="23" t="str">
        <f t="shared" si="31"/>
        <v/>
      </c>
      <c r="S20" s="12"/>
      <c r="T20" s="12"/>
      <c r="U20" s="25" t="str">
        <f t="shared" ref="U20" si="42">IF(AND(S20="Preventivo",T20="Automático"),"50%",IF(AND(S20="Preventivo",T20="Manual"),"40%",IF(AND(S20="Detectivo",T20="Automático"),"40%",IF(AND(S20="Detectivo",T20="Manual"),"30%",IF(AND(S20="Correctivo",T20="Automático"),"35%",IF(AND(S20="Correctivo",T20="Manual"),"25%",""))))))</f>
        <v/>
      </c>
      <c r="V20" s="12"/>
      <c r="W20" s="12"/>
      <c r="X20" s="12"/>
      <c r="Y20" s="26" t="str">
        <f t="shared" si="32"/>
        <v/>
      </c>
      <c r="Z20" s="19" t="str">
        <f t="shared" si="35"/>
        <v/>
      </c>
      <c r="AA20" s="25" t="str">
        <f t="shared" ref="AA20" si="43">+Y20</f>
        <v/>
      </c>
      <c r="AB20" s="19" t="str">
        <f t="shared" si="37"/>
        <v/>
      </c>
      <c r="AC20" s="25" t="str">
        <f t="shared" si="33"/>
        <v/>
      </c>
      <c r="AD20" s="2" t="str">
        <f t="shared" ref="AD20" si="4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31">
        <v>7</v>
      </c>
      <c r="B21" s="232"/>
      <c r="C21" s="232"/>
      <c r="D21" s="232"/>
      <c r="E21" s="233"/>
      <c r="F21" s="232"/>
      <c r="G21" s="232"/>
      <c r="H21" s="226" t="str">
        <f>IF(G21="","",IF('[25]Mapa final'!G21='[25]Tabla probabilidad'!$C$4,"MUY BAJA",IF('[25]Mapa final'!G21='[25]Tabla probabilidad'!$C$5,"BAJA",IF('[25]Mapa final'!G21='[25]Tabla probabilidad'!$C$6,"MEDIA",IF('[25]Mapa final'!G21='[25]Tabla probabilidad'!$C$7,"ALTA",IF('[25]Mapa final'!G21='[25]Tabla probabilidad'!$C$8,"MUY ALTA"))))))</f>
        <v/>
      </c>
      <c r="I21" s="225" t="str">
        <f t="shared" ref="I21" si="45">IF(H21="","",IF(H21="Muy Baja",0.2,IF(H21="Baja",0.4,IF(H21="Media",0.6,IF(H21="Alta",0.8,IF(H21="Muy Alta",1,))))))</f>
        <v/>
      </c>
      <c r="J21" s="224"/>
      <c r="K21" s="225" t="str">
        <f>IF(J21="","",IF(NOT(ISERROR(MATCH(J21,'[25]Tabla Impacto'!$B$37:$B$39,0))),'[25]Tabla Impacto'!$F$37&amp;"Por favor no seleccionar los criterios de impacto(Afectación Económica o presupuestal y Pérdida Reputacional)",J21))</f>
        <v/>
      </c>
      <c r="L21" s="226" t="str">
        <f>IF(OR(J21='[25]Tabla Impacto'!$F$25,J21='[25]Tabla Impacto'!$F$31),"Leve",IF(OR(J21='[25]Tabla Impacto'!$F$26,J21='[25]Tabla Impacto'!$F$32),"Menor",IF(OR(J21='[25]Tabla Impacto'!$F$27,J21='[25]Tabla Impacto'!$F$33,J21='[25]Tabla Impacto'!$F$37),"Moderado",IF(OR(J21='[25]Tabla Impacto'!$F$28,J21='[25]Tabla Impacto'!$F$34,J21='[25]Tabla Impacto'!$F$38),"Mayor",IF(OR(J21='[25]Tabla Impacto'!$F$29,J21='[25]Tabla Impacto'!$F$35,J21='[25]Tabla Impacto'!$F$39),"Catastrófico","")))))</f>
        <v/>
      </c>
      <c r="M21" s="225" t="str">
        <f t="shared" ref="M21" si="46">IF(L21="","",IF(L21="Leve",0.2,IF(L21="Menor",0.4,IF(L21="Moderado",0.6,IF(L21="Mayor",0.8,IF(L21="Catastrófico",1,))))))</f>
        <v/>
      </c>
      <c r="N21" s="227" t="str">
        <f t="shared" ref="N21" si="47">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3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32"/>
        <v/>
      </c>
      <c r="Z21" s="19" t="str">
        <f>IFERROR(IF(Y21="","",IF(Y21&lt;=0.2,"Muy Baja",IF(Y21&lt;=0.4,"Baja",IF(Y21&lt;=0.6,"Media",IF(Y21&lt;=0.8,"Alta","Muy Alta"))))),"")</f>
        <v/>
      </c>
      <c r="AA21" s="25" t="str">
        <f>+Y21</f>
        <v/>
      </c>
      <c r="AB21" s="19" t="str">
        <f>IFERROR(IF(AC21="","",IF(AC21&lt;=0.2,"Leve",IF(AC21&lt;=0.4,"Menor",IF(AC21&lt;=0.6,"Moderado",IF(AC21&lt;=0.8,"Mayor","Catastrófico"))))),"")</f>
        <v/>
      </c>
      <c r="AC21" s="25" t="str">
        <f t="shared" si="33"/>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31"/>
      <c r="B22" s="232"/>
      <c r="C22" s="232"/>
      <c r="D22" s="232"/>
      <c r="E22" s="233"/>
      <c r="F22" s="232"/>
      <c r="G22" s="232"/>
      <c r="H22" s="226"/>
      <c r="I22" s="225"/>
      <c r="J22" s="224"/>
      <c r="K22" s="225">
        <f ca="1">IF(NOT(ISERROR(MATCH(J22,_xlfn.ANCHORARRAY(E25),0))),#REF!&amp;"Por favor no seleccionar los criterios de impacto",J22)</f>
        <v>0</v>
      </c>
      <c r="L22" s="226"/>
      <c r="M22" s="225"/>
      <c r="N22" s="227"/>
      <c r="O22" s="23">
        <v>2</v>
      </c>
      <c r="P22" s="24"/>
      <c r="Q22" s="24"/>
      <c r="R22" s="23" t="str">
        <f t="shared" si="31"/>
        <v/>
      </c>
      <c r="S22" s="12"/>
      <c r="T22" s="12"/>
      <c r="U22" s="25" t="str">
        <f t="shared" ref="U22" si="48">IF(AND(S22="Preventivo",T22="Automático"),"50%",IF(AND(S22="Preventivo",T22="Manual"),"40%",IF(AND(S22="Detectivo",T22="Automático"),"40%",IF(AND(S22="Detectivo",T22="Manual"),"30%",IF(AND(S22="Correctivo",T22="Automático"),"35%",IF(AND(S22="Correctivo",T22="Manual"),"25%",""))))))</f>
        <v/>
      </c>
      <c r="V22" s="12"/>
      <c r="W22" s="12"/>
      <c r="X22" s="12"/>
      <c r="Y22" s="26" t="str">
        <f t="shared" si="32"/>
        <v/>
      </c>
      <c r="Z22" s="19" t="str">
        <f t="shared" si="35"/>
        <v/>
      </c>
      <c r="AA22" s="25" t="str">
        <f t="shared" ref="AA22" si="49">+Y22</f>
        <v/>
      </c>
      <c r="AB22" s="19" t="str">
        <f t="shared" si="37"/>
        <v/>
      </c>
      <c r="AC22" s="25" t="str">
        <f t="shared" si="33"/>
        <v/>
      </c>
      <c r="AD22" s="2" t="str">
        <f t="shared" ref="AD22" si="50">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31">
        <v>10</v>
      </c>
      <c r="B23" s="232"/>
      <c r="C23" s="232"/>
      <c r="D23" s="232"/>
      <c r="E23" s="233"/>
      <c r="F23" s="232"/>
      <c r="G23" s="232"/>
      <c r="H23" s="226" t="str">
        <f>IF(G23="","",IF('[25]Mapa final'!G23='[25]Tabla probabilidad'!$C$4,"MUY BAJA",IF('[25]Mapa final'!G23='[25]Tabla probabilidad'!$C$5,"BAJA",IF('[25]Mapa final'!G23='[25]Tabla probabilidad'!$C$6,"MEDIA",IF('[25]Mapa final'!G23='[25]Tabla probabilidad'!$C$7,"ALTA",IF('[25]Mapa final'!G23='[25]Tabla probabilidad'!$C$8,"MUY ALTA"))))))</f>
        <v/>
      </c>
      <c r="I23" s="225" t="str">
        <f t="shared" ref="I23" si="51">IF(H23="","",IF(H23="Muy Baja",0.2,IF(H23="Baja",0.4,IF(H23="Media",0.6,IF(H23="Alta",0.8,IF(H23="Muy Alta",1,))))))</f>
        <v/>
      </c>
      <c r="J23" s="224"/>
      <c r="K23" s="225" t="str">
        <f>IF(J23="","",IF(NOT(ISERROR(MATCH(J23,'[25]Tabla Impacto'!$B$37:$B$39,0))),'[25]Tabla Impacto'!$F$37&amp;"Por favor no seleccionar los criterios de impacto(Afectación Económica o presupuestal y Pérdida Reputacional)",J23))</f>
        <v/>
      </c>
      <c r="L23" s="226" t="str">
        <f>IF(OR(J23='[25]Tabla Impacto'!$F$25,J23='[25]Tabla Impacto'!$F$31),"Leve",IF(OR(J23='[25]Tabla Impacto'!$F$26,J23='[25]Tabla Impacto'!$F$32),"Menor",IF(OR(J23='[25]Tabla Impacto'!$F$27,J23='[25]Tabla Impacto'!$F$33,J23='[25]Tabla Impacto'!$F$37),"Moderado",IF(OR(J23='[25]Tabla Impacto'!$F$28,J23='[25]Tabla Impacto'!$F$34,J23='[25]Tabla Impacto'!$F$38),"Mayor",IF(OR(J23='[25]Tabla Impacto'!$F$29,J23='[25]Tabla Impacto'!$F$35,J23='[25]Tabla Impacto'!$F$39),"Catastrófico","")))))</f>
        <v/>
      </c>
      <c r="M23" s="225" t="str">
        <f t="shared" ref="M23" si="52">IF(L23="","",IF(L23="Leve",0.2,IF(L23="Menor",0.4,IF(L23="Moderado",0.6,IF(L23="Mayor",0.8,IF(L23="Catastrófico",1,))))))</f>
        <v/>
      </c>
      <c r="N23" s="227" t="str">
        <f t="shared" ref="N23" si="53">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3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32"/>
        <v/>
      </c>
      <c r="Z23" s="19" t="str">
        <f>IFERROR(IF(Y23="","",IF(Y23&lt;=0.2,"Muy Baja",IF(Y23&lt;=0.4,"Baja",IF(Y23&lt;=0.6,"Media",IF(Y23&lt;=0.8,"Alta","Muy Alta"))))),"")</f>
        <v/>
      </c>
      <c r="AA23" s="25" t="str">
        <f>+Y23</f>
        <v/>
      </c>
      <c r="AB23" s="19" t="str">
        <f>IFERROR(IF(AC23="","",IF(AC23&lt;=0.2,"Leve",IF(AC23&lt;=0.4,"Menor",IF(AC23&lt;=0.6,"Moderado",IF(AC23&lt;=0.8,"Mayor","Catastrófico"))))),"")</f>
        <v/>
      </c>
      <c r="AC23" s="25" t="str">
        <f t="shared" si="33"/>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31"/>
      <c r="B24" s="232"/>
      <c r="C24" s="232"/>
      <c r="D24" s="232"/>
      <c r="E24" s="233"/>
      <c r="F24" s="232"/>
      <c r="G24" s="232"/>
      <c r="H24" s="226"/>
      <c r="I24" s="225"/>
      <c r="J24" s="224"/>
      <c r="K24" s="225">
        <f ca="1">IF(NOT(ISERROR(MATCH(J24,_xlfn.ANCHORARRAY(E26),0))),#REF!&amp;"Por favor no seleccionar los criterios de impacto",J24)</f>
        <v>0</v>
      </c>
      <c r="L24" s="226"/>
      <c r="M24" s="225"/>
      <c r="N24" s="227"/>
      <c r="O24" s="23">
        <v>2</v>
      </c>
      <c r="P24" s="24"/>
      <c r="Q24" s="24"/>
      <c r="R24" s="23" t="str">
        <f t="shared" si="31"/>
        <v/>
      </c>
      <c r="S24" s="12"/>
      <c r="T24" s="12"/>
      <c r="U24" s="25" t="str">
        <f t="shared" ref="U24" si="54">IF(AND(S24="Preventivo",T24="Automático"),"50%",IF(AND(S24="Preventivo",T24="Manual"),"40%",IF(AND(S24="Detectivo",T24="Automático"),"40%",IF(AND(S24="Detectivo",T24="Manual"),"30%",IF(AND(S24="Correctivo",T24="Automático"),"35%",IF(AND(S24="Correctivo",T24="Manual"),"25%",""))))))</f>
        <v/>
      </c>
      <c r="V24" s="12"/>
      <c r="W24" s="12"/>
      <c r="X24" s="12"/>
      <c r="Y24" s="26" t="str">
        <f t="shared" si="32"/>
        <v/>
      </c>
      <c r="Z24" s="19" t="str">
        <f t="shared" si="35"/>
        <v/>
      </c>
      <c r="AA24" s="25" t="str">
        <f t="shared" ref="AA24" si="55">+Y24</f>
        <v/>
      </c>
      <c r="AB24" s="19" t="str">
        <f t="shared" si="37"/>
        <v/>
      </c>
      <c r="AC24" s="25" t="str">
        <f t="shared" si="33"/>
        <v/>
      </c>
      <c r="AD24" s="2" t="str">
        <f t="shared" ref="AD24" si="56">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28" t="s">
        <v>97</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1:37">
      <c r="A26" s="28"/>
      <c r="B26" s="29" t="s">
        <v>98</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ht="16.5">
      <c r="A27" s="3"/>
      <c r="B27" s="3"/>
      <c r="C27" s="3"/>
      <c r="D27" s="3"/>
      <c r="E27" s="5"/>
      <c r="F27" s="3"/>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163">
    <mergeCell ref="M23:M24"/>
    <mergeCell ref="N23:N24"/>
    <mergeCell ref="A25:AK25"/>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s>
  <conditionalFormatting sqref="H9">
    <cfRule type="cellIs" dxfId="201" priority="57" operator="equal">
      <formula>"Muy Baja"</formula>
    </cfRule>
    <cfRule type="cellIs" dxfId="200" priority="55" operator="equal">
      <formula>"Media"</formula>
    </cfRule>
    <cfRule type="cellIs" dxfId="199" priority="54" operator="equal">
      <formula>"Alta"</formula>
    </cfRule>
    <cfRule type="cellIs" dxfId="198" priority="53" operator="equal">
      <formula>"Muy Alta"</formula>
    </cfRule>
    <cfRule type="cellIs" dxfId="197" priority="56" operator="equal">
      <formula>"Baja"</formula>
    </cfRule>
  </conditionalFormatting>
  <conditionalFormatting sqref="H11">
    <cfRule type="cellIs" dxfId="196" priority="39" operator="equal">
      <formula>"Muy Alta"</formula>
    </cfRule>
    <cfRule type="cellIs" dxfId="195" priority="43" operator="equal">
      <formula>"Muy Baja"</formula>
    </cfRule>
    <cfRule type="cellIs" dxfId="194" priority="42" operator="equal">
      <formula>"Baja"</formula>
    </cfRule>
    <cfRule type="cellIs" dxfId="193" priority="41" operator="equal">
      <formula>"Media"</formula>
    </cfRule>
    <cfRule type="cellIs" dxfId="192" priority="40" operator="equal">
      <formula>"Alta"</formula>
    </cfRule>
  </conditionalFormatting>
  <conditionalFormatting sqref="H13">
    <cfRule type="cellIs" dxfId="191" priority="25" operator="equal">
      <formula>"Muy Alta"</formula>
    </cfRule>
    <cfRule type="cellIs" dxfId="190" priority="26" operator="equal">
      <formula>"Alta"</formula>
    </cfRule>
    <cfRule type="cellIs" dxfId="189" priority="27" operator="equal">
      <formula>"Media"</formula>
    </cfRule>
    <cfRule type="cellIs" dxfId="188" priority="28" operator="equal">
      <formula>"Baja"</formula>
    </cfRule>
    <cfRule type="cellIs" dxfId="187" priority="29" operator="equal">
      <formula>"Muy Baja"</formula>
    </cfRule>
  </conditionalFormatting>
  <conditionalFormatting sqref="H15">
    <cfRule type="cellIs" dxfId="186" priority="11" operator="equal">
      <formula>"Muy Alta"</formula>
    </cfRule>
    <cfRule type="cellIs" dxfId="185" priority="12" operator="equal">
      <formula>"Alta"</formula>
    </cfRule>
    <cfRule type="cellIs" dxfId="184" priority="15" operator="equal">
      <formula>"Muy Baja"</formula>
    </cfRule>
    <cfRule type="cellIs" dxfId="183" priority="14" operator="equal">
      <formula>"Baja"</formula>
    </cfRule>
    <cfRule type="cellIs" dxfId="182" priority="13" operator="equal">
      <formula>"Media"</formula>
    </cfRule>
  </conditionalFormatting>
  <conditionalFormatting sqref="K9:K24">
    <cfRule type="containsText" dxfId="181" priority="1" operator="containsText" text="❌">
      <formula>NOT(ISERROR(SEARCH("❌",K9)))</formula>
    </cfRule>
  </conditionalFormatting>
  <conditionalFormatting sqref="L9">
    <cfRule type="cellIs" dxfId="180" priority="52" operator="equal">
      <formula>"Leve"</formula>
    </cfRule>
    <cfRule type="cellIs" dxfId="179" priority="51" operator="equal">
      <formula>"Menor"</formula>
    </cfRule>
    <cfRule type="cellIs" dxfId="178" priority="50" operator="equal">
      <formula>"Moderado"</formula>
    </cfRule>
    <cfRule type="cellIs" dxfId="177" priority="49" operator="equal">
      <formula>"Mayor"</formula>
    </cfRule>
    <cfRule type="cellIs" dxfId="176" priority="48" operator="equal">
      <formula>"Catastrófico"</formula>
    </cfRule>
  </conditionalFormatting>
  <conditionalFormatting sqref="L11">
    <cfRule type="cellIs" dxfId="175" priority="38" operator="equal">
      <formula>"Leve"</formula>
    </cfRule>
    <cfRule type="cellIs" dxfId="174" priority="37" operator="equal">
      <formula>"Menor"</formula>
    </cfRule>
    <cfRule type="cellIs" dxfId="173" priority="34" operator="equal">
      <formula>"Catastrófico"</formula>
    </cfRule>
    <cfRule type="cellIs" dxfId="172" priority="36" operator="equal">
      <formula>"Moderado"</formula>
    </cfRule>
    <cfRule type="cellIs" dxfId="171" priority="35" operator="equal">
      <formula>"Mayor"</formula>
    </cfRule>
  </conditionalFormatting>
  <conditionalFormatting sqref="L13">
    <cfRule type="cellIs" dxfId="170" priority="22" operator="equal">
      <formula>"Moderado"</formula>
    </cfRule>
    <cfRule type="cellIs" dxfId="169" priority="23" operator="equal">
      <formula>"Menor"</formula>
    </cfRule>
    <cfRule type="cellIs" dxfId="168" priority="24" operator="equal">
      <formula>"Leve"</formula>
    </cfRule>
    <cfRule type="cellIs" dxfId="167" priority="20" operator="equal">
      <formula>"Catastrófico"</formula>
    </cfRule>
    <cfRule type="cellIs" dxfId="166" priority="21" operator="equal">
      <formula>"Mayor"</formula>
    </cfRule>
  </conditionalFormatting>
  <conditionalFormatting sqref="L15">
    <cfRule type="cellIs" dxfId="165" priority="6" operator="equal">
      <formula>"Catastrófico"</formula>
    </cfRule>
    <cfRule type="cellIs" dxfId="164" priority="7" operator="equal">
      <formula>"Mayor"</formula>
    </cfRule>
    <cfRule type="cellIs" dxfId="163" priority="8" operator="equal">
      <formula>"Moderado"</formula>
    </cfRule>
    <cfRule type="cellIs" dxfId="162" priority="10" operator="equal">
      <formula>"Leve"</formula>
    </cfRule>
    <cfRule type="cellIs" dxfId="161" priority="9" operator="equal">
      <formula>"Menor"</formula>
    </cfRule>
  </conditionalFormatting>
  <conditionalFormatting sqref="N9">
    <cfRule type="cellIs" dxfId="160" priority="44" operator="equal">
      <formula>"Extremo"</formula>
    </cfRule>
    <cfRule type="cellIs" dxfId="159" priority="45" operator="equal">
      <formula>"Alto"</formula>
    </cfRule>
    <cfRule type="cellIs" dxfId="158" priority="46" operator="equal">
      <formula>"Moderado"</formula>
    </cfRule>
    <cfRule type="cellIs" dxfId="157" priority="47" operator="equal">
      <formula>"Bajo"</formula>
    </cfRule>
  </conditionalFormatting>
  <conditionalFormatting sqref="N11">
    <cfRule type="cellIs" dxfId="156" priority="33" operator="equal">
      <formula>"Bajo"</formula>
    </cfRule>
    <cfRule type="cellIs" dxfId="155" priority="32" operator="equal">
      <formula>"Moderado"</formula>
    </cfRule>
    <cfRule type="cellIs" dxfId="154" priority="31" operator="equal">
      <formula>"Alto"</formula>
    </cfRule>
    <cfRule type="cellIs" dxfId="153" priority="30" operator="equal">
      <formula>"Extremo"</formula>
    </cfRule>
  </conditionalFormatting>
  <conditionalFormatting sqref="N13">
    <cfRule type="cellIs" dxfId="152" priority="18" operator="equal">
      <formula>"Moderado"</formula>
    </cfRule>
    <cfRule type="cellIs" dxfId="151" priority="17" operator="equal">
      <formula>"Alto"</formula>
    </cfRule>
    <cfRule type="cellIs" dxfId="150" priority="16" operator="equal">
      <formula>"Extremo"</formula>
    </cfRule>
    <cfRule type="cellIs" dxfId="149" priority="19" operator="equal">
      <formula>"Bajo"</formula>
    </cfRule>
  </conditionalFormatting>
  <conditionalFormatting sqref="N15">
    <cfRule type="cellIs" dxfId="148" priority="5" operator="equal">
      <formula>"Bajo"</formula>
    </cfRule>
    <cfRule type="cellIs" dxfId="147" priority="4" operator="equal">
      <formula>"Moderado"</formula>
    </cfRule>
    <cfRule type="cellIs" dxfId="146" priority="3" operator="equal">
      <formula>"Alto"</formula>
    </cfRule>
    <cfRule type="cellIs" dxfId="145" priority="2" operator="equal">
      <formula>"Extremo"</formula>
    </cfRule>
  </conditionalFormatting>
  <conditionalFormatting sqref="Z9:Z24 H17 H19 H21 H23">
    <cfRule type="cellIs" dxfId="144" priority="71" operator="equal">
      <formula>"Muy Baja"</formula>
    </cfRule>
    <cfRule type="cellIs" dxfId="143" priority="67" operator="equal">
      <formula>"Muy Alta"</formula>
    </cfRule>
    <cfRule type="cellIs" dxfId="142" priority="68" operator="equal">
      <formula>"Alta"</formula>
    </cfRule>
    <cfRule type="cellIs" dxfId="141" priority="69" operator="equal">
      <formula>"Media"</formula>
    </cfRule>
    <cfRule type="cellIs" dxfId="140" priority="70" operator="equal">
      <formula>"Baja"</formula>
    </cfRule>
  </conditionalFormatting>
  <conditionalFormatting sqref="AB9:AB24 L17 L19 L21 L23">
    <cfRule type="cellIs" dxfId="139" priority="62" operator="equal">
      <formula>"Catastrófico"</formula>
    </cfRule>
    <cfRule type="cellIs" dxfId="138" priority="64" operator="equal">
      <formula>"Moderado"</formula>
    </cfRule>
    <cfRule type="cellIs" dxfId="137" priority="65" operator="equal">
      <formula>"Menor"</formula>
    </cfRule>
    <cfRule type="cellIs" dxfId="136" priority="66" operator="equal">
      <formula>"Leve"</formula>
    </cfRule>
    <cfRule type="cellIs" dxfId="135" priority="63" operator="equal">
      <formula>"Mayor"</formula>
    </cfRule>
  </conditionalFormatting>
  <conditionalFormatting sqref="AD9:AD24 N17 N19 N21 N23">
    <cfRule type="cellIs" dxfId="134" priority="58" operator="equal">
      <formula>"Extremo"</formula>
    </cfRule>
    <cfRule type="cellIs" dxfId="133" priority="59" operator="equal">
      <formula>"Alto"</formula>
    </cfRule>
    <cfRule type="cellIs" dxfId="132" priority="60" operator="equal">
      <formula>"Moderado"</formula>
    </cfRule>
    <cfRule type="cellIs" dxfId="131" priority="61" operator="equal">
      <formula>"Bajo"</formula>
    </cfRule>
  </conditionalFormatting>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50B6-4F58-4CD3-A555-55A2879A8717}">
  <sheetPr>
    <tabColor theme="6" tint="-0.249977111117893"/>
  </sheetPr>
  <dimension ref="A1:AK17"/>
  <sheetViews>
    <sheetView topLeftCell="A7" workbookViewId="0">
      <selection activeCell="F9" sqref="F9:F10"/>
    </sheetView>
  </sheetViews>
  <sheetFormatPr baseColWidth="10" defaultRowHeight="15"/>
  <cols>
    <col min="1" max="1" width="4" customWidth="1"/>
    <col min="2" max="2" width="14.140625" customWidth="1"/>
    <col min="3" max="3" width="20.28515625" customWidth="1"/>
    <col min="4" max="4" width="21.85546875" customWidth="1"/>
    <col min="5" max="5" width="53.28515625" customWidth="1"/>
    <col min="6" max="6" width="19" customWidth="1"/>
    <col min="7" max="7" width="41" customWidth="1"/>
    <col min="8" max="8" width="16.5703125" customWidth="1"/>
    <col min="9" max="9" width="6.28515625" bestFit="1" customWidth="1"/>
    <col min="10" max="10" width="27.28515625" bestFit="1" customWidth="1"/>
    <col min="11" max="11" width="39.140625" customWidth="1"/>
    <col min="12" max="12" width="17.5703125" customWidth="1"/>
    <col min="13" max="13" width="6.28515625" bestFit="1" customWidth="1"/>
    <col min="14" max="14" width="16" customWidth="1"/>
    <col min="15" max="15" width="5.85546875" customWidth="1"/>
    <col min="16" max="16" width="42.28515625" customWidth="1"/>
    <col min="17" max="17" width="25.42578125" customWidth="1"/>
    <col min="18" max="18" width="15.140625" bestFit="1" customWidth="1"/>
    <col min="19" max="19" width="12.42578125" customWidth="1"/>
    <col min="20" max="20" width="10.5703125" customWidth="1"/>
    <col min="21" max="21" width="5.5703125" customWidth="1"/>
    <col min="22" max="22" width="16.85546875" customWidth="1"/>
    <col min="23" max="23" width="8.85546875" bestFit="1" customWidth="1"/>
    <col min="24" max="24" width="11.7109375" bestFit="1" customWidth="1"/>
    <col min="25" max="25" width="13.42578125" customWidth="1"/>
    <col min="26" max="26" width="8.7109375" customWidth="1"/>
    <col min="27" max="27" width="10.42578125" customWidth="1"/>
    <col min="28" max="28" width="9.28515625" customWidth="1"/>
    <col min="29" max="29" width="9.140625" customWidth="1"/>
    <col min="30" max="30" width="28.5703125" customWidth="1"/>
    <col min="31" max="31" width="19.28515625" customWidth="1"/>
    <col min="32" max="32" width="30.140625" customWidth="1"/>
    <col min="33" max="33" width="23.7109375" customWidth="1"/>
    <col min="34" max="34" width="16.85546875" customWidth="1"/>
    <col min="35" max="35" width="14.85546875" customWidth="1"/>
    <col min="36" max="36" width="18.5703125" customWidth="1"/>
    <col min="37" max="37" width="21"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177"/>
      <c r="R4" s="177"/>
      <c r="S4" s="177"/>
      <c r="T4" s="177"/>
      <c r="U4" s="5"/>
      <c r="V4" s="5"/>
      <c r="W4" s="5"/>
      <c r="X4" s="5"/>
      <c r="Y4" s="5"/>
      <c r="Z4" s="5"/>
      <c r="AA4" s="5"/>
      <c r="AB4" s="5"/>
      <c r="AC4" s="5"/>
      <c r="AD4" s="5"/>
      <c r="AE4" s="5"/>
      <c r="AF4" s="5"/>
      <c r="AG4" s="5"/>
      <c r="AH4" s="5"/>
      <c r="AI4" s="5"/>
      <c r="AJ4" s="5"/>
      <c r="AK4" s="5"/>
    </row>
    <row r="5" spans="1:37" ht="33" customHeight="1">
      <c r="A5" s="254" t="s">
        <v>5</v>
      </c>
      <c r="B5" s="254"/>
      <c r="C5" s="534" t="s">
        <v>516</v>
      </c>
      <c r="D5" s="535"/>
      <c r="E5" s="535"/>
      <c r="F5" s="535"/>
      <c r="G5" s="535"/>
      <c r="H5" s="256" t="s">
        <v>7</v>
      </c>
      <c r="I5" s="256"/>
      <c r="J5" s="314" t="s">
        <v>526</v>
      </c>
      <c r="K5" s="314"/>
      <c r="L5" s="314"/>
      <c r="M5" s="314"/>
      <c r="N5" s="314"/>
      <c r="O5" s="256" t="s">
        <v>9</v>
      </c>
      <c r="P5" s="256"/>
      <c r="Q5" s="536" t="s">
        <v>533</v>
      </c>
      <c r="R5" s="537"/>
      <c r="S5" s="537"/>
      <c r="T5" s="537"/>
      <c r="U5" s="537"/>
      <c r="V5" s="537"/>
      <c r="W5" s="537"/>
      <c r="X5" s="537"/>
      <c r="Y5" s="537"/>
      <c r="Z5" s="537"/>
      <c r="AA5" s="537"/>
      <c r="AB5" s="537"/>
      <c r="AC5" s="537"/>
      <c r="AD5" s="537"/>
      <c r="AE5" s="538"/>
      <c r="AF5" s="182" t="s">
        <v>11</v>
      </c>
      <c r="AG5" s="314" t="s">
        <v>541</v>
      </c>
      <c r="AH5" s="314"/>
      <c r="AI5" s="314"/>
      <c r="AJ5" s="314"/>
      <c r="AK5" s="314"/>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5" t="s">
        <v>22</v>
      </c>
      <c r="F7" s="246" t="s">
        <v>23</v>
      </c>
      <c r="G7" s="246" t="s">
        <v>24</v>
      </c>
      <c r="H7" s="247" t="s">
        <v>25</v>
      </c>
      <c r="I7" s="248" t="s">
        <v>26</v>
      </c>
      <c r="J7" s="247" t="s">
        <v>27</v>
      </c>
      <c r="K7" s="247" t="s">
        <v>28</v>
      </c>
      <c r="L7" s="247" t="s">
        <v>29</v>
      </c>
      <c r="M7" s="248" t="s">
        <v>26</v>
      </c>
      <c r="N7" s="247" t="s">
        <v>30</v>
      </c>
      <c r="O7" s="249" t="s">
        <v>31</v>
      </c>
      <c r="P7" s="237" t="s">
        <v>32</v>
      </c>
      <c r="Q7" s="531" t="s">
        <v>33</v>
      </c>
      <c r="R7" s="533"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5"/>
      <c r="F8" s="246"/>
      <c r="G8" s="246"/>
      <c r="H8" s="247"/>
      <c r="I8" s="248"/>
      <c r="J8" s="247"/>
      <c r="K8" s="247"/>
      <c r="L8" s="248"/>
      <c r="M8" s="248"/>
      <c r="N8" s="247"/>
      <c r="O8" s="249"/>
      <c r="P8" s="237"/>
      <c r="Q8" s="532"/>
      <c r="R8" s="533"/>
      <c r="S8" s="180" t="s">
        <v>46</v>
      </c>
      <c r="T8" s="180" t="s">
        <v>47</v>
      </c>
      <c r="U8" s="7" t="s">
        <v>48</v>
      </c>
      <c r="V8" s="7" t="s">
        <v>49</v>
      </c>
      <c r="W8" s="7" t="s">
        <v>50</v>
      </c>
      <c r="X8" s="7" t="s">
        <v>51</v>
      </c>
      <c r="Y8" s="236"/>
      <c r="Z8" s="236"/>
      <c r="AA8" s="236"/>
      <c r="AB8" s="236"/>
      <c r="AC8" s="236"/>
      <c r="AD8" s="236"/>
      <c r="AE8" s="236"/>
      <c r="AF8" s="250"/>
      <c r="AG8" s="250"/>
      <c r="AH8" s="250"/>
      <c r="AI8" s="250"/>
      <c r="AJ8" s="250"/>
      <c r="AK8" s="250"/>
    </row>
    <row r="9" spans="1:37" ht="75">
      <c r="A9" s="231">
        <v>1</v>
      </c>
      <c r="B9" s="232" t="s">
        <v>71</v>
      </c>
      <c r="C9" s="232" t="s">
        <v>517</v>
      </c>
      <c r="D9" s="232" t="s">
        <v>520</v>
      </c>
      <c r="E9" s="233" t="s">
        <v>523</v>
      </c>
      <c r="F9" s="232" t="s">
        <v>75</v>
      </c>
      <c r="G9" s="232" t="s">
        <v>57</v>
      </c>
      <c r="H9" s="226" t="str">
        <f>IF(G9="","",IF('[26]Mapa final'!G9='[26]Tabla probabilidad'!$C$4,"MUY BAJA",IF('[26]Mapa final'!G9='[26]Tabla probabilidad'!$C$5,"BAJA",IF('[26]Mapa final'!G9='[26]Tabla probabilidad'!$C$6,"MEDIA",IF('[26]Mapa final'!G9='[26]Tabla probabilidad'!$C$7,"ALTA",IF('[26]Mapa final'!G9='[26]Tabla probabilidad'!$C$8,"MUY ALTA"))))))</f>
        <v>MEDIA</v>
      </c>
      <c r="I9" s="225">
        <f t="shared" ref="I9" si="0">IF(H9="","",IF(H9="Muy Baja",0.2,IF(H9="Baja",0.4,IF(H9="Media",0.6,IF(H9="Alta",0.8,IF(H9="Muy Alta",1,))))))</f>
        <v>0.6</v>
      </c>
      <c r="J9" s="224" t="s">
        <v>135</v>
      </c>
      <c r="K9" s="225" t="str">
        <f>IF(J9="","",IF(NOT(ISERROR(MATCH(J9,'[26]Tabla Impacto'!$B$37:$B$39,0))),'[26]Tabla Impacto'!$F$37&amp;"Por favor no seleccionar los criterios de impacto(Afectación Económica o presupuestal y Pérdida Reputacional)",J9))</f>
        <v xml:space="preserve">     Entre 10 y 50 SMLMV </v>
      </c>
      <c r="L9" s="226" t="str">
        <f>IF(OR(J9='[26]Tabla Impacto'!$F$25,J9='[26]Tabla Impacto'!$F$31),"Leve",IF(OR(J9='[26]Tabla Impacto'!$F$26,J9='[26]Tabla Impacto'!$F$32),"Menor",IF(OR(J9='[26]Tabla Impacto'!$F$27,J9='[26]Tabla Impacto'!$F$33,J9='[26]Tabla Impacto'!$F$37),"Moderado",IF(OR(J9='[26]Tabla Impacto'!$F$28,J9='[26]Tabla Impacto'!$F$34,J9='[26]Tabla Impacto'!$F$38),"Mayor",IF(OR(J9='[26]Tabla Impacto'!$F$29,J9='[26]Tabla Impacto'!$F$35,J9='[26]Tabla Impacto'!$F$39),"Catastrófico","")))))</f>
        <v>Menor</v>
      </c>
      <c r="M9" s="225">
        <f t="shared" ref="M9" si="1">IF(L9="","",IF(L9="Leve",0.2,IF(L9="Menor",0.4,IF(L9="Moderado",0.6,IF(L9="Mayor",0.8,IF(L9="Catastrófico",1,))))))</f>
        <v>0.4</v>
      </c>
      <c r="N9" s="227"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527</v>
      </c>
      <c r="Q9" s="47" t="s">
        <v>534</v>
      </c>
      <c r="R9" s="179" t="str">
        <f t="shared" ref="R9" si="3">IF(OR(S9="Preventivo",S9="Detectivo"),"Probabilidad",IF(S9="Correctivo","Impacto",""))</f>
        <v>Probabilidad</v>
      </c>
      <c r="S9" s="181" t="s">
        <v>69</v>
      </c>
      <c r="T9" s="181" t="s">
        <v>62</v>
      </c>
      <c r="U9" s="25" t="str">
        <f>IF(AND(S9="Preventivo",T9="Automático"),"50%",IF(AND(S9="Preventivo",T9="Manual"),"40%",IF(AND(S9="Detectivo",T9="Automático"),"40%",IF(AND(S9="Detectivo",T9="Manual"),"30%",IF(AND(S9="Correctivo",T9="Automático"),"35%",IF(AND(S9="Correctivo",T9="Manual"),"25%",""))))))</f>
        <v>30%</v>
      </c>
      <c r="V9" s="12" t="s">
        <v>70</v>
      </c>
      <c r="W9" s="12" t="s">
        <v>64</v>
      </c>
      <c r="X9" s="12" t="s">
        <v>65</v>
      </c>
      <c r="Y9" s="26">
        <f t="shared" ref="Y9:Y14" si="4">IFERROR(IF(R9="Probabilidad",(I9-(+I9*U9)),IF(R9="Impacto",I9,"")),"")</f>
        <v>0.42</v>
      </c>
      <c r="Z9" s="19" t="str">
        <f>IFERROR(IF(Y9="","",IF(Y9&lt;=0.2,"Muy Baja",IF(Y9&lt;=0.4,"Baja",IF(Y9&lt;=0.6,"Media",IF(Y9&lt;=0.8,"Alta","Muy Alta"))))),"")</f>
        <v>Media</v>
      </c>
      <c r="AA9" s="25">
        <f>+Y9</f>
        <v>0.42</v>
      </c>
      <c r="AB9" s="19" t="str">
        <f>IFERROR(IF(AC9="","",IF(AC9&lt;=0.2,"Leve",IF(AC9&lt;=0.4,"Menor",IF(AC9&lt;=0.6,"Moderado",IF(AC9&lt;=0.8,"Mayor","Catastrófico"))))),"")</f>
        <v>Menor</v>
      </c>
      <c r="AC9" s="25">
        <f t="shared" ref="AC9:AC14" si="5">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66</v>
      </c>
      <c r="AF9" s="18" t="s">
        <v>537</v>
      </c>
      <c r="AG9" s="18" t="s">
        <v>542</v>
      </c>
      <c r="AH9" s="5"/>
      <c r="AI9" s="27"/>
      <c r="AJ9" s="18"/>
      <c r="AK9" s="12"/>
    </row>
    <row r="10" spans="1:37" ht="45">
      <c r="A10" s="231"/>
      <c r="B10" s="232"/>
      <c r="C10" s="232"/>
      <c r="D10" s="232"/>
      <c r="E10" s="233"/>
      <c r="F10" s="232"/>
      <c r="G10" s="232"/>
      <c r="H10" s="226"/>
      <c r="I10" s="225"/>
      <c r="J10" s="224"/>
      <c r="K10" s="225">
        <f ca="1">IF(NOT(ISERROR(MATCH(J10,_xlfn.ANCHORARRAY(E11),0))),#REF!&amp;"Por favor no seleccionar los criterios de impacto",J10)</f>
        <v>0</v>
      </c>
      <c r="L10" s="226"/>
      <c r="M10" s="225"/>
      <c r="N10" s="227"/>
      <c r="O10" s="23">
        <v>2</v>
      </c>
      <c r="P10" s="24" t="s">
        <v>528</v>
      </c>
      <c r="Q10" s="47" t="s">
        <v>535</v>
      </c>
      <c r="R10" s="179" t="str">
        <f>IF(OR(S10="Preventivo",S10="Detectivo"),"Probabilidad",IF(S10="Correctivo","Impacto",""))</f>
        <v>Impacto</v>
      </c>
      <c r="S10" s="181" t="s">
        <v>122</v>
      </c>
      <c r="T10" s="181" t="s">
        <v>62</v>
      </c>
      <c r="U10" s="25" t="str">
        <f t="shared" ref="U10" si="6">IF(AND(S10="Preventivo",T10="Automático"),"50%",IF(AND(S10="Preventivo",T10="Manual"),"40%",IF(AND(S10="Detectivo",T10="Automático"),"40%",IF(AND(S10="Detectivo",T10="Manual"),"30%",IF(AND(S10="Correctivo",T10="Automático"),"35%",IF(AND(S10="Correctivo",T10="Manual"),"25%",""))))))</f>
        <v>25%</v>
      </c>
      <c r="V10" s="12" t="s">
        <v>70</v>
      </c>
      <c r="W10" s="12" t="s">
        <v>64</v>
      </c>
      <c r="X10" s="12" t="s">
        <v>65</v>
      </c>
      <c r="Y10" s="26">
        <f t="shared" si="4"/>
        <v>0</v>
      </c>
      <c r="Z10" s="19" t="str">
        <f t="shared" ref="Z10:Z14" si="7">IFERROR(IF(Y10="","",IF(Y10&lt;=0.2,"Muy Baja",IF(Y10&lt;=0.4,"Baja",IF(Y10&lt;=0.6,"Media",IF(Y10&lt;=0.8,"Alta","Muy Alta"))))),"")</f>
        <v>Muy Baja</v>
      </c>
      <c r="AA10" s="25">
        <f t="shared" ref="AA10" si="8">+Y10</f>
        <v>0</v>
      </c>
      <c r="AB10" s="19" t="str">
        <f t="shared" ref="AB10:AB14"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66</v>
      </c>
      <c r="AF10" s="18" t="s">
        <v>538</v>
      </c>
      <c r="AG10" s="18" t="s">
        <v>542</v>
      </c>
      <c r="AH10" s="27"/>
      <c r="AI10" s="27"/>
      <c r="AJ10" s="18"/>
      <c r="AK10" s="12"/>
    </row>
    <row r="11" spans="1:37" ht="60">
      <c r="A11" s="231">
        <v>2</v>
      </c>
      <c r="B11" s="232" t="s">
        <v>71</v>
      </c>
      <c r="C11" s="232" t="s">
        <v>518</v>
      </c>
      <c r="D11" s="232" t="s">
        <v>521</v>
      </c>
      <c r="E11" s="233" t="s">
        <v>524</v>
      </c>
      <c r="F11" s="232" t="s">
        <v>56</v>
      </c>
      <c r="G11" s="232" t="s">
        <v>57</v>
      </c>
      <c r="H11" s="226" t="str">
        <f>IF(G11="","",IF('[26]Mapa final'!G11='[26]Tabla probabilidad'!$C$4,"MUY BAJA",IF('[26]Mapa final'!G11='[26]Tabla probabilidad'!$C$5,"BAJA",IF('[26]Mapa final'!G11='[26]Tabla probabilidad'!$C$6,"MEDIA",IF('[26]Mapa final'!G11='[26]Tabla probabilidad'!$C$7,"ALTA",IF('[26]Mapa final'!G11='[26]Tabla probabilidad'!$C$8,"MUY ALTA"))))))</f>
        <v>MEDIA</v>
      </c>
      <c r="I11" s="225">
        <f t="shared" ref="I11" si="11">IF(H11="","",IF(H11="Muy Baja",0.2,IF(H11="Baja",0.4,IF(H11="Media",0.6,IF(H11="Alta",0.8,IF(H11="Muy Alta",1,))))))</f>
        <v>0.6</v>
      </c>
      <c r="J11" s="224" t="s">
        <v>278</v>
      </c>
      <c r="K11" s="225" t="str">
        <f>IF(J11="","",IF(NOT(ISERROR(MATCH(J11,'[26]Tabla Impacto'!$B$37:$B$39,0))),'[26]Tabla Impacto'!$F$37&amp;"Por favor no seleccionar los criterios de impacto(Afectación Económica o presupuestal y Pérdida Reputacional)",J11))</f>
        <v xml:space="preserve">     Afectación menor a 10 SMLMV</v>
      </c>
      <c r="L11" s="226" t="str">
        <f>IF(OR(J11='[26]Tabla Impacto'!$F$25,J11='[26]Tabla Impacto'!$F$31),"Leve",IF(OR(J11='[26]Tabla Impacto'!$F$26,J11='[26]Tabla Impacto'!$F$32),"Menor",IF(OR(J11='[26]Tabla Impacto'!$F$27,J11='[26]Tabla Impacto'!$F$33,J11='[26]Tabla Impacto'!$F$37),"Moderado",IF(OR(J11='[26]Tabla Impacto'!$F$28,J11='[26]Tabla Impacto'!$F$34,J11='[26]Tabla Impacto'!$F$38),"Mayor",IF(OR(J11='[26]Tabla Impacto'!$F$29,J11='[26]Tabla Impacto'!$F$35,J11='[26]Tabla Impacto'!$F$39),"Catastrófico","")))))</f>
        <v>Leve</v>
      </c>
      <c r="M11" s="225">
        <f t="shared" ref="M11" si="12">IF(L11="","",IF(L11="Leve",0.2,IF(L11="Menor",0.4,IF(L11="Moderado",0.6,IF(L11="Mayor",0.8,IF(L11="Catastrófico",1,))))))</f>
        <v>0.2</v>
      </c>
      <c r="N11" s="227" t="str">
        <f t="shared" ref="N11" si="13">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529</v>
      </c>
      <c r="Q11" s="47" t="s">
        <v>535</v>
      </c>
      <c r="R11" s="179" t="str">
        <f t="shared" ref="R11:R14" si="14">IF(OR(S11="Preventivo",S11="Detectivo"),"Probabilidad",IF(S11="Correctivo","Impacto",""))</f>
        <v>Probabilidad</v>
      </c>
      <c r="S11" s="181" t="s">
        <v>69</v>
      </c>
      <c r="T11" s="181" t="s">
        <v>62</v>
      </c>
      <c r="U11" s="25" t="str">
        <f>IF(AND(S11="Preventivo",T11="Automático"),"50%",IF(AND(S11="Preventivo",T11="Manual"),"40%",IF(AND(S11="Detectivo",T11="Automático"),"40%",IF(AND(S11="Detectivo",T11="Manual"),"30%",IF(AND(S11="Correctivo",T11="Automático"),"35%",IF(AND(S11="Correctivo",T11="Manual"),"25%",""))))))</f>
        <v>30%</v>
      </c>
      <c r="V11" s="12" t="s">
        <v>70</v>
      </c>
      <c r="W11" s="12" t="s">
        <v>123</v>
      </c>
      <c r="X11" s="12" t="s">
        <v>228</v>
      </c>
      <c r="Y11" s="26">
        <f t="shared" si="4"/>
        <v>0.42</v>
      </c>
      <c r="Z11" s="19" t="str">
        <f>IFERROR(IF(Y11="","",IF(Y11&lt;=0.2,"Muy Baja",IF(Y11&lt;=0.4,"Baja",IF(Y11&lt;=0.6,"Media",IF(Y11&lt;=0.8,"Alta","Muy Alta"))))),"")</f>
        <v>Media</v>
      </c>
      <c r="AA11" s="25">
        <f>+Y11</f>
        <v>0.42</v>
      </c>
      <c r="AB11" s="19" t="str">
        <f>IFERROR(IF(AC11="","",IF(AC11&lt;=0.2,"Leve",IF(AC11&lt;=0.4,"Menor",IF(AC11&lt;=0.6,"Moderado",IF(AC11&lt;=0.8,"Mayor","Catastrófico"))))),"")</f>
        <v>Leve</v>
      </c>
      <c r="AC11" s="25">
        <f t="shared" si="5"/>
        <v>0.2</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66</v>
      </c>
      <c r="AF11" s="18" t="s">
        <v>539</v>
      </c>
      <c r="AG11" s="18" t="s">
        <v>543</v>
      </c>
      <c r="AH11" s="27"/>
      <c r="AI11" s="27"/>
      <c r="AJ11" s="18"/>
      <c r="AK11" s="12"/>
    </row>
    <row r="12" spans="1:37" ht="117.75" customHeight="1">
      <c r="A12" s="231"/>
      <c r="B12" s="232"/>
      <c r="C12" s="232"/>
      <c r="D12" s="232"/>
      <c r="E12" s="233"/>
      <c r="F12" s="232"/>
      <c r="G12" s="232"/>
      <c r="H12" s="226"/>
      <c r="I12" s="225"/>
      <c r="J12" s="224"/>
      <c r="K12" s="225">
        <f ca="1">IF(NOT(ISERROR(MATCH(J12,_xlfn.ANCHORARRAY(E13),0))),#REF!&amp;"Por favor no seleccionar los criterios de impacto",J12)</f>
        <v>0</v>
      </c>
      <c r="L12" s="226"/>
      <c r="M12" s="225"/>
      <c r="N12" s="227"/>
      <c r="O12" s="23">
        <v>2</v>
      </c>
      <c r="P12" s="24" t="s">
        <v>530</v>
      </c>
      <c r="Q12" s="47" t="s">
        <v>536</v>
      </c>
      <c r="R12" s="179" t="str">
        <f t="shared" si="14"/>
        <v>Probabilidad</v>
      </c>
      <c r="S12" s="181" t="s">
        <v>61</v>
      </c>
      <c r="T12" s="181" t="s">
        <v>62</v>
      </c>
      <c r="U12" s="25" t="str">
        <f t="shared" ref="U12" si="15">IF(AND(S12="Preventivo",T12="Automático"),"50%",IF(AND(S12="Preventivo",T12="Manual"),"40%",IF(AND(S12="Detectivo",T12="Automático"),"40%",IF(AND(S12="Detectivo",T12="Manual"),"30%",IF(AND(S12="Correctivo",T12="Automático"),"35%",IF(AND(S12="Correctivo",T12="Manual"),"25%",""))))))</f>
        <v>40%</v>
      </c>
      <c r="V12" s="12" t="s">
        <v>63</v>
      </c>
      <c r="W12" s="12" t="s">
        <v>123</v>
      </c>
      <c r="X12" s="12" t="s">
        <v>228</v>
      </c>
      <c r="Y12" s="26">
        <f t="shared" si="4"/>
        <v>0</v>
      </c>
      <c r="Z12" s="19" t="str">
        <f t="shared" si="7"/>
        <v>Muy Baja</v>
      </c>
      <c r="AA12" s="25">
        <f t="shared" ref="AA12" si="16">+Y12</f>
        <v>0</v>
      </c>
      <c r="AB12" s="19" t="str">
        <f t="shared" si="9"/>
        <v>Leve</v>
      </c>
      <c r="AC12" s="25">
        <f t="shared" si="5"/>
        <v>0</v>
      </c>
      <c r="AD12" s="2" t="str">
        <f t="shared" ref="AD12" si="17">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t="s">
        <v>540</v>
      </c>
      <c r="AG12" s="18" t="s">
        <v>543</v>
      </c>
      <c r="AH12" s="27"/>
      <c r="AI12" s="27"/>
      <c r="AJ12" s="18"/>
      <c r="AK12" s="12"/>
    </row>
    <row r="13" spans="1:37" ht="53.25" customHeight="1">
      <c r="A13" s="231">
        <v>3</v>
      </c>
      <c r="B13" s="232" t="s">
        <v>140</v>
      </c>
      <c r="C13" s="232" t="s">
        <v>519</v>
      </c>
      <c r="D13" s="232" t="s">
        <v>522</v>
      </c>
      <c r="E13" s="233" t="s">
        <v>525</v>
      </c>
      <c r="F13" s="232" t="s">
        <v>144</v>
      </c>
      <c r="G13" s="232" t="s">
        <v>85</v>
      </c>
      <c r="H13" s="226" t="str">
        <f>IF(G13="","",IF('[26]Mapa final'!G13='[26]Tabla probabilidad'!$C$4,"MUY BAJA",IF('[26]Mapa final'!G13='[26]Tabla probabilidad'!$C$5,"BAJA",IF('[26]Mapa final'!G13='[26]Tabla probabilidad'!$C$6,"MEDIA",IF('[26]Mapa final'!G13='[26]Tabla probabilidad'!$C$7,"ALTA",IF('[26]Mapa final'!G13='[26]Tabla probabilidad'!$C$8,"MUY ALTA"))))))</f>
        <v>BAJA</v>
      </c>
      <c r="I13" s="225">
        <f t="shared" ref="I13" si="18">IF(H13="","",IF(H13="Muy Baja",0.2,IF(H13="Baja",0.4,IF(H13="Media",0.6,IF(H13="Alta",0.8,IF(H13="Muy Alta",1,))))))</f>
        <v>0.4</v>
      </c>
      <c r="J13" s="224" t="s">
        <v>135</v>
      </c>
      <c r="K13" s="225" t="str">
        <f>IF(J13="","",IF(NOT(ISERROR(MATCH(J13,'[26]Tabla Impacto'!$B$37:$B$39,0))),'[26]Tabla Impacto'!$F$37&amp;"Por favor no seleccionar los criterios de impacto(Afectación Económica o presupuestal y Pérdida Reputacional)",J13))</f>
        <v xml:space="preserve">     Entre 10 y 50 SMLMV </v>
      </c>
      <c r="L13" s="226" t="str">
        <f>IF(OR(J13='[26]Tabla Impacto'!$F$25,J13='[26]Tabla Impacto'!$F$31),"Leve",IF(OR(J13='[26]Tabla Impacto'!$F$26,J13='[26]Tabla Impacto'!$F$32),"Menor",IF(OR(J13='[26]Tabla Impacto'!$F$27,J13='[26]Tabla Impacto'!$F$33,J13='[26]Tabla Impacto'!$F$37),"Moderado",IF(OR(J13='[26]Tabla Impacto'!$F$28,J13='[26]Tabla Impacto'!$F$34,J13='[26]Tabla Impacto'!$F$38),"Mayor",IF(OR(J13='[26]Tabla Impacto'!$F$29,J13='[26]Tabla Impacto'!$F$35,J13='[26]Tabla Impacto'!$F$39),"Catastrófico","")))))</f>
        <v>Menor</v>
      </c>
      <c r="M13" s="225">
        <f t="shared" ref="M13" si="19">IF(L13="","",IF(L13="Leve",0.2,IF(L13="Menor",0.4,IF(L13="Moderado",0.6,IF(L13="Mayor",0.8,IF(L13="Catastrófico",1,))))))</f>
        <v>0.4</v>
      </c>
      <c r="N13" s="227" t="str">
        <f t="shared" ref="N13" si="20">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531</v>
      </c>
      <c r="Q13" s="47" t="s">
        <v>534</v>
      </c>
      <c r="R13" s="179" t="str">
        <f t="shared" si="14"/>
        <v>Impacto</v>
      </c>
      <c r="S13" s="181" t="s">
        <v>122</v>
      </c>
      <c r="T13" s="181" t="s">
        <v>62</v>
      </c>
      <c r="U13" s="25" t="str">
        <f>IF(AND(S13="Preventivo",T13="Automático"),"50%",IF(AND(S13="Preventivo",T13="Manual"),"40%",IF(AND(S13="Detectivo",T13="Automático"),"40%",IF(AND(S13="Detectivo",T13="Manual"),"30%",IF(AND(S13="Correctivo",T13="Automático"),"35%",IF(AND(S13="Correctivo",T13="Manual"),"25%",""))))))</f>
        <v>25%</v>
      </c>
      <c r="V13" s="12" t="s">
        <v>70</v>
      </c>
      <c r="W13" s="12" t="s">
        <v>64</v>
      </c>
      <c r="X13" s="12" t="s">
        <v>65</v>
      </c>
      <c r="Y13" s="26">
        <f t="shared" si="4"/>
        <v>0.4</v>
      </c>
      <c r="Z13" s="19" t="str">
        <f>IFERROR(IF(Y13="","",IF(Y13&lt;=0.2,"Muy Baja",IF(Y13&lt;=0.4,"Baja",IF(Y13&lt;=0.6,"Media",IF(Y13&lt;=0.8,"Alta","Muy Alta"))))),"")</f>
        <v>Baja</v>
      </c>
      <c r="AA13" s="25">
        <f>+Y13</f>
        <v>0.4</v>
      </c>
      <c r="AB13" s="19" t="str">
        <f>IFERROR(IF(AC13="","",IF(AC13&lt;=0.2,"Leve",IF(AC13&lt;=0.4,"Menor",IF(AC13&lt;=0.6,"Moderado",IF(AC13&lt;=0.8,"Mayor","Catastrófico"))))),"")</f>
        <v>Menor</v>
      </c>
      <c r="AC13" s="25">
        <f t="shared" si="5"/>
        <v>0.30000000000000004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18"/>
      <c r="AG13" s="12"/>
      <c r="AH13" s="27"/>
      <c r="AI13" s="27"/>
      <c r="AJ13" s="18"/>
      <c r="AK13" s="12"/>
    </row>
    <row r="14" spans="1:37" ht="30">
      <c r="A14" s="231"/>
      <c r="B14" s="232"/>
      <c r="C14" s="232"/>
      <c r="D14" s="232"/>
      <c r="E14" s="233"/>
      <c r="F14" s="232"/>
      <c r="G14" s="232"/>
      <c r="H14" s="226"/>
      <c r="I14" s="225"/>
      <c r="J14" s="224"/>
      <c r="K14" s="225">
        <f ca="1">IF(NOT(ISERROR(MATCH(J14,_xlfn.ANCHORARRAY(#REF!),0))),#REF!&amp;"Por favor no seleccionar los criterios de impacto",J14)</f>
        <v>0</v>
      </c>
      <c r="L14" s="226"/>
      <c r="M14" s="225"/>
      <c r="N14" s="227"/>
      <c r="O14" s="23">
        <v>2</v>
      </c>
      <c r="P14" s="24" t="s">
        <v>532</v>
      </c>
      <c r="Q14" s="47" t="s">
        <v>535</v>
      </c>
      <c r="R14" s="179" t="str">
        <f t="shared" si="14"/>
        <v>Probabilidad</v>
      </c>
      <c r="S14" s="181" t="s">
        <v>61</v>
      </c>
      <c r="T14" s="181" t="s">
        <v>62</v>
      </c>
      <c r="U14" s="25" t="str">
        <f t="shared" ref="U14" si="21">IF(AND(S14="Preventivo",T14="Automático"),"50%",IF(AND(S14="Preventivo",T14="Manual"),"40%",IF(AND(S14="Detectivo",T14="Automático"),"40%",IF(AND(S14="Detectivo",T14="Manual"),"30%",IF(AND(S14="Correctivo",T14="Automático"),"35%",IF(AND(S14="Correctivo",T14="Manual"),"25%",""))))))</f>
        <v>40%</v>
      </c>
      <c r="V14" s="12" t="s">
        <v>70</v>
      </c>
      <c r="W14" s="12" t="s">
        <v>123</v>
      </c>
      <c r="X14" s="12" t="s">
        <v>228</v>
      </c>
      <c r="Y14" s="26">
        <f t="shared" si="4"/>
        <v>0</v>
      </c>
      <c r="Z14" s="19" t="str">
        <f t="shared" si="7"/>
        <v>Muy Baja</v>
      </c>
      <c r="AA14" s="25">
        <f t="shared" ref="AA14" si="22">+Y14</f>
        <v>0</v>
      </c>
      <c r="AB14" s="19" t="str">
        <f t="shared" si="9"/>
        <v>Leve</v>
      </c>
      <c r="AC14" s="25">
        <f t="shared" si="5"/>
        <v>0</v>
      </c>
      <c r="AD14" s="2" t="str">
        <f t="shared" ref="AD14" si="23">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2" t="s">
        <v>220</v>
      </c>
      <c r="AF14" s="18"/>
      <c r="AG14" s="12"/>
      <c r="AH14" s="27"/>
      <c r="AI14" s="27"/>
      <c r="AJ14" s="18"/>
      <c r="AK14" s="12"/>
    </row>
    <row r="15" spans="1:37">
      <c r="A15" s="228" t="s">
        <v>97</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30"/>
    </row>
    <row r="16" spans="1:37">
      <c r="A16" s="28"/>
      <c r="B16" s="29" t="s">
        <v>98</v>
      </c>
      <c r="C16" s="28"/>
      <c r="D16" s="28"/>
      <c r="E16" s="28"/>
      <c r="F16" s="28"/>
      <c r="G16" s="28"/>
      <c r="H16" s="28"/>
      <c r="I16" s="28"/>
      <c r="J16" s="28"/>
      <c r="K16" s="28"/>
      <c r="L16" s="28"/>
      <c r="M16" s="28"/>
      <c r="N16" s="28"/>
      <c r="O16" s="28"/>
      <c r="P16" s="28"/>
      <c r="Q16" s="178"/>
      <c r="R16" s="178"/>
      <c r="S16" s="178"/>
      <c r="T16" s="178"/>
      <c r="U16" s="28"/>
      <c r="V16" s="28"/>
      <c r="W16" s="28"/>
      <c r="X16" s="28"/>
      <c r="Y16" s="28"/>
      <c r="Z16" s="28"/>
      <c r="AA16" s="28"/>
      <c r="AB16" s="28"/>
      <c r="AC16" s="28"/>
      <c r="AD16" s="28"/>
      <c r="AE16" s="28"/>
      <c r="AF16" s="28"/>
      <c r="AG16" s="28"/>
      <c r="AH16" s="28"/>
      <c r="AI16" s="28"/>
      <c r="AJ16" s="28"/>
      <c r="AK16" s="28"/>
    </row>
    <row r="17" spans="1:37" ht="16.5">
      <c r="A17" s="3"/>
      <c r="B17" s="3"/>
      <c r="C17" s="3"/>
      <c r="D17" s="3"/>
      <c r="E17" s="5"/>
      <c r="F17" s="3"/>
      <c r="G17" s="5"/>
      <c r="H17" s="5"/>
      <c r="I17" s="5"/>
      <c r="J17" s="5"/>
      <c r="K17" s="5"/>
      <c r="L17" s="5"/>
      <c r="M17" s="5"/>
      <c r="N17" s="5"/>
      <c r="O17" s="5"/>
      <c r="P17" s="5"/>
      <c r="Q17" s="177"/>
      <c r="R17" s="177"/>
      <c r="S17" s="177"/>
      <c r="T17" s="177"/>
      <c r="U17" s="5"/>
      <c r="V17" s="5"/>
      <c r="W17" s="5"/>
      <c r="X17" s="5"/>
      <c r="Y17" s="5"/>
      <c r="Z17" s="5"/>
      <c r="AA17" s="5"/>
      <c r="AB17" s="5"/>
      <c r="AC17" s="5"/>
      <c r="AD17" s="5"/>
      <c r="AE17" s="5"/>
      <c r="AF17" s="5"/>
      <c r="AG17" s="5"/>
      <c r="AH17" s="5"/>
      <c r="AI17" s="5"/>
      <c r="AJ17" s="5"/>
      <c r="AK17" s="5"/>
    </row>
  </sheetData>
  <mergeCells count="93">
    <mergeCell ref="A6:G6"/>
    <mergeCell ref="H6:N6"/>
    <mergeCell ref="O6:X6"/>
    <mergeCell ref="Y6:AE6"/>
    <mergeCell ref="AF6:AK6"/>
    <mergeCell ref="Q5:AE5"/>
    <mergeCell ref="AG5:AK5"/>
    <mergeCell ref="M7:M8"/>
    <mergeCell ref="N7:N8"/>
    <mergeCell ref="O7:O8"/>
    <mergeCell ref="P7:P8"/>
    <mergeCell ref="O5:P5"/>
    <mergeCell ref="J5:N5"/>
    <mergeCell ref="AK7:AK8"/>
    <mergeCell ref="F7:F8"/>
    <mergeCell ref="AH7:AH8"/>
    <mergeCell ref="J7:J8"/>
    <mergeCell ref="K7:K8"/>
    <mergeCell ref="L7:L8"/>
    <mergeCell ref="A1:D3"/>
    <mergeCell ref="E1:AG1"/>
    <mergeCell ref="AH1:AK1"/>
    <mergeCell ref="E2:AG3"/>
    <mergeCell ref="AH2:AK2"/>
    <mergeCell ref="AH3:AK3"/>
    <mergeCell ref="A5:B5"/>
    <mergeCell ref="C5:G5"/>
    <mergeCell ref="H5:I5"/>
    <mergeCell ref="AI7:AI8"/>
    <mergeCell ref="AJ7:AJ8"/>
    <mergeCell ref="AF7:AF8"/>
    <mergeCell ref="AG7:AG8"/>
    <mergeCell ref="A7:A8"/>
    <mergeCell ref="G7:G8"/>
    <mergeCell ref="H7:H8"/>
    <mergeCell ref="AD7:AD8"/>
    <mergeCell ref="AE7:AE8"/>
    <mergeCell ref="B7:B8"/>
    <mergeCell ref="C7:C8"/>
    <mergeCell ref="D7:D8"/>
    <mergeCell ref="E7:E8"/>
    <mergeCell ref="A9:A10"/>
    <mergeCell ref="B9:B10"/>
    <mergeCell ref="C9:C10"/>
    <mergeCell ref="D9:D10"/>
    <mergeCell ref="E9:E10"/>
    <mergeCell ref="N9:N10"/>
    <mergeCell ref="I9:I10"/>
    <mergeCell ref="AB7:AB8"/>
    <mergeCell ref="AC7:AC8"/>
    <mergeCell ref="Q7:Q8"/>
    <mergeCell ref="R7:R8"/>
    <mergeCell ref="S7:X7"/>
    <mergeCell ref="Y7:Y8"/>
    <mergeCell ref="Z7:Z8"/>
    <mergeCell ref="AA7:AA8"/>
    <mergeCell ref="I7:I8"/>
    <mergeCell ref="A11:A12"/>
    <mergeCell ref="B11:B12"/>
    <mergeCell ref="C11:C12"/>
    <mergeCell ref="D11:D12"/>
    <mergeCell ref="E11:E12"/>
    <mergeCell ref="F11:F12"/>
    <mergeCell ref="G11:G12"/>
    <mergeCell ref="H11:H12"/>
    <mergeCell ref="G9:G10"/>
    <mergeCell ref="H9:H10"/>
    <mergeCell ref="F9:F10"/>
    <mergeCell ref="M13:M14"/>
    <mergeCell ref="J9:J10"/>
    <mergeCell ref="K9:K10"/>
    <mergeCell ref="L9:L10"/>
    <mergeCell ref="I11:I12"/>
    <mergeCell ref="J11:J12"/>
    <mergeCell ref="K11:K12"/>
    <mergeCell ref="L11:L12"/>
    <mergeCell ref="M9:M10"/>
    <mergeCell ref="A15:AK15"/>
    <mergeCell ref="M11:M12"/>
    <mergeCell ref="N11:N12"/>
    <mergeCell ref="N13:N14"/>
    <mergeCell ref="A13:A14"/>
    <mergeCell ref="B13:B14"/>
    <mergeCell ref="C13:C14"/>
    <mergeCell ref="D13:D14"/>
    <mergeCell ref="E13:E14"/>
    <mergeCell ref="F13:F14"/>
    <mergeCell ref="G13:G14"/>
    <mergeCell ref="H13:H14"/>
    <mergeCell ref="I13:I14"/>
    <mergeCell ref="J13:J14"/>
    <mergeCell ref="K13:K14"/>
    <mergeCell ref="L13:L14"/>
  </mergeCells>
  <conditionalFormatting sqref="H9 Z9:Z14 H11 H13">
    <cfRule type="cellIs" dxfId="130" priority="11" operator="equal">
      <formula>"Muy Alta"</formula>
    </cfRule>
    <cfRule type="cellIs" dxfId="129" priority="12" operator="equal">
      <formula>"Alta"</formula>
    </cfRule>
    <cfRule type="cellIs" dxfId="128" priority="13" operator="equal">
      <formula>"Media"</formula>
    </cfRule>
    <cfRule type="cellIs" dxfId="127" priority="14" operator="equal">
      <formula>"Baja"</formula>
    </cfRule>
    <cfRule type="cellIs" dxfId="126" priority="15" operator="equal">
      <formula>"Muy Baja"</formula>
    </cfRule>
  </conditionalFormatting>
  <conditionalFormatting sqref="K9:K14">
    <cfRule type="containsText" dxfId="125" priority="1" operator="containsText" text="❌">
      <formula>NOT(ISERROR(SEARCH("❌",K9)))</formula>
    </cfRule>
  </conditionalFormatting>
  <conditionalFormatting sqref="L9 AB9:AB14 L11 L13">
    <cfRule type="cellIs" dxfId="124" priority="6" operator="equal">
      <formula>"Catastrófico"</formula>
    </cfRule>
    <cfRule type="cellIs" dxfId="123" priority="7" operator="equal">
      <formula>"Mayor"</formula>
    </cfRule>
    <cfRule type="cellIs" dxfId="122" priority="8" operator="equal">
      <formula>"Moderado"</formula>
    </cfRule>
    <cfRule type="cellIs" dxfId="121" priority="9" operator="equal">
      <formula>"Menor"</formula>
    </cfRule>
    <cfRule type="cellIs" dxfId="120" priority="10" operator="equal">
      <formula>"Leve"</formula>
    </cfRule>
  </conditionalFormatting>
  <conditionalFormatting sqref="N9 AD9:AD14 N11 N13">
    <cfRule type="cellIs" dxfId="119" priority="2" operator="equal">
      <formula>"Extremo"</formula>
    </cfRule>
    <cfRule type="cellIs" dxfId="118" priority="3" operator="equal">
      <formula>"Alto"</formula>
    </cfRule>
    <cfRule type="cellIs" dxfId="117" priority="4" operator="equal">
      <formula>"Moderado"</formula>
    </cfRule>
    <cfRule type="cellIs" dxfId="116" priority="5" operator="equal">
      <formula>"Bajo"</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CD209-A3C1-4799-B3EA-3D4900FBA4AF}">
  <sheetPr>
    <tabColor theme="5" tint="-0.249977111117893"/>
  </sheetPr>
  <dimension ref="A1:AK20"/>
  <sheetViews>
    <sheetView topLeftCell="A7" zoomScale="90" zoomScaleNormal="90" workbookViewId="0">
      <selection activeCell="F7" sqref="F7:F8"/>
    </sheetView>
  </sheetViews>
  <sheetFormatPr baseColWidth="10" defaultRowHeight="16.5"/>
  <cols>
    <col min="1" max="1" width="4" style="3" bestFit="1" customWidth="1"/>
    <col min="2" max="2" width="14.140625" style="3" customWidth="1"/>
    <col min="3" max="3" width="20.28515625" style="3" customWidth="1"/>
    <col min="4" max="4" width="21.85546875" style="3" customWidth="1"/>
    <col min="5" max="5" width="53.28515625" style="5" customWidth="1"/>
    <col min="6" max="6" width="19" style="3" customWidth="1"/>
    <col min="7" max="7" width="41" style="5" customWidth="1"/>
    <col min="8" max="8" width="16.5703125" style="5" customWidth="1"/>
    <col min="9" max="9" width="6.28515625" style="5" bestFit="1" customWidth="1"/>
    <col min="10" max="10" width="27.28515625" style="5" bestFit="1" customWidth="1"/>
    <col min="11" max="11" width="39.140625" style="5" customWidth="1"/>
    <col min="12" max="12" width="17.5703125" style="5" customWidth="1"/>
    <col min="13" max="13" width="6.28515625" style="5" bestFit="1" customWidth="1"/>
    <col min="14" max="14" width="16" style="5" customWidth="1"/>
    <col min="15" max="15" width="5.85546875" style="5" customWidth="1"/>
    <col min="16" max="16" width="42.28515625" style="5" customWidth="1"/>
    <col min="17" max="17" width="31" style="5" customWidth="1"/>
    <col min="18" max="18" width="15.140625" style="5" bestFit="1" customWidth="1"/>
    <col min="19" max="19" width="6.85546875" style="5" customWidth="1"/>
    <col min="20" max="20" width="5" style="5" customWidth="1"/>
    <col min="21" max="21" width="5.5703125" style="5" customWidth="1"/>
    <col min="22" max="22" width="7.85546875" style="5" customWidth="1"/>
    <col min="23" max="23" width="6.7109375" style="5" customWidth="1"/>
    <col min="24" max="24" width="7.5703125" style="5" customWidth="1"/>
    <col min="25" max="25" width="13.42578125" style="5" customWidth="1"/>
    <col min="26" max="26" width="8.7109375" style="5" customWidth="1"/>
    <col min="27" max="27" width="10.42578125" style="5" customWidth="1"/>
    <col min="28" max="28" width="9.28515625" style="5" customWidth="1"/>
    <col min="29" max="29" width="9.140625" style="5" customWidth="1"/>
    <col min="30" max="30" width="11.85546875" style="5" customWidth="1"/>
    <col min="31" max="31" width="7.28515625" style="5" customWidth="1"/>
    <col min="32" max="32" width="23" style="5" customWidth="1"/>
    <col min="33" max="33" width="18.85546875" style="5" customWidth="1"/>
    <col min="34" max="34" width="16.85546875" style="5" customWidth="1"/>
    <col min="35" max="35" width="14.85546875" style="5" customWidth="1"/>
    <col min="36" max="36" width="18.5703125" style="5" customWidth="1"/>
    <col min="37" max="37" width="21" style="5" customWidth="1"/>
    <col min="38" max="16384" width="11.42578125" style="5"/>
  </cols>
  <sheetData>
    <row r="1" spans="1:37" ht="30" customHeight="1">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30" customHeight="1">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30" customHeight="1">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c r="B4" s="4"/>
    </row>
    <row r="5" spans="1:37" ht="26.25" customHeight="1">
      <c r="A5" s="254" t="s">
        <v>5</v>
      </c>
      <c r="B5" s="254"/>
      <c r="C5" s="255"/>
      <c r="D5" s="255"/>
      <c r="E5" s="255"/>
      <c r="F5" s="255"/>
      <c r="G5" s="255"/>
      <c r="H5" s="254" t="s">
        <v>7</v>
      </c>
      <c r="I5" s="254"/>
      <c r="J5" s="255"/>
      <c r="K5" s="255"/>
      <c r="L5" s="255"/>
      <c r="M5" s="255"/>
      <c r="N5" s="255"/>
      <c r="O5" s="254" t="s">
        <v>9</v>
      </c>
      <c r="P5" s="254"/>
      <c r="Q5" s="418"/>
      <c r="R5" s="419"/>
      <c r="S5" s="419"/>
      <c r="T5" s="419"/>
      <c r="U5" s="419"/>
      <c r="V5" s="419"/>
      <c r="W5" s="419"/>
      <c r="X5" s="419"/>
      <c r="Y5" s="419"/>
      <c r="Z5" s="419"/>
      <c r="AA5" s="419"/>
      <c r="AB5" s="419"/>
      <c r="AC5" s="419"/>
      <c r="AD5" s="419"/>
      <c r="AE5" s="420"/>
      <c r="AF5" s="6" t="s">
        <v>11</v>
      </c>
      <c r="AG5" s="417"/>
      <c r="AH5" s="417"/>
      <c r="AI5" s="417"/>
      <c r="AJ5" s="417"/>
      <c r="AK5" s="41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ht="16.5" customHeight="1">
      <c r="A7" s="244" t="s">
        <v>18</v>
      </c>
      <c r="B7" s="245" t="s">
        <v>19</v>
      </c>
      <c r="C7" s="246" t="s">
        <v>20</v>
      </c>
      <c r="D7" s="246" t="s">
        <v>21</v>
      </c>
      <c r="E7" s="245"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s="167" customFormat="1" ht="94.5" customHeight="1">
      <c r="A8" s="244"/>
      <c r="B8" s="245"/>
      <c r="C8" s="246"/>
      <c r="D8" s="246"/>
      <c r="E8" s="245"/>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s="3" customFormat="1" ht="60">
      <c r="A9" s="231">
        <v>1</v>
      </c>
      <c r="B9" s="232" t="s">
        <v>52</v>
      </c>
      <c r="C9" s="232" t="s">
        <v>446</v>
      </c>
      <c r="D9" s="232" t="s">
        <v>451</v>
      </c>
      <c r="E9" s="233" t="s">
        <v>456</v>
      </c>
      <c r="F9" s="232" t="s">
        <v>277</v>
      </c>
      <c r="G9" s="232" t="s">
        <v>57</v>
      </c>
      <c r="H9" s="226" t="str">
        <f>IF(G9="","",IF('[27]Mapa final'!G9='[27]Tabla probabilidad'!$C$4,"MUY BAJA",IF('[27]Mapa final'!G9='[27]Tabla probabilidad'!$C$5,"BAJA",IF('[27]Mapa final'!G9='[27]Tabla probabilidad'!$C$6,"MEDIA",IF('[27]Mapa final'!G9='[27]Tabla probabilidad'!$C$7,"ALTA",IF('[27]Mapa final'!G9='[27]Tabla probabilidad'!$C$8,"MUY ALTA"))))))</f>
        <v>MEDIA</v>
      </c>
      <c r="I9" s="225">
        <f>IF(H9="","",IF(H9="Muy Baja",0.2,IF(H9="Baja",0.4,IF(H9="Media",0.6,IF(H9="Alta",0.8,IF(H9="Muy Alta",1,))))))</f>
        <v>0.6</v>
      </c>
      <c r="J9" s="224" t="s">
        <v>77</v>
      </c>
      <c r="K9" s="225" t="str">
        <f>IF(J9="","",IF(NOT(ISERROR(MATCH(J9,'[27]Tabla Impacto'!$B$37:$B$39,0))),'[27]Tabla Impacto'!$F$37&amp;"Por favor no seleccionar los criterios de impacto(Afectación Económica o presupuestal y Pérdida Reputacional)",J9))</f>
        <v xml:space="preserve">     El riesgo afecta la imagen de la entidad con algunos usuarios de relevancia frente al logro de los objetivos</v>
      </c>
      <c r="L9" s="226" t="str">
        <f>IF(OR(J9='[27]Tabla Impacto'!$F$25,J9='[27]Tabla Impacto'!$F$31),"Leve",IF(OR(J9='[27]Tabla Impacto'!$F$26,J9='[27]Tabla Impacto'!$F$32),"Menor",IF(OR(J9='[27]Tabla Impacto'!$F$27,J9='[27]Tabla Impacto'!$F$33,J9='[27]Tabla Impacto'!$F$37),"Moderado",IF(OR(J9='[27]Tabla Impacto'!$F$28,J9='[27]Tabla Impacto'!$F$34,J9='[27]Tabla Impacto'!$F$38),"Mayor",IF(OR(J9='[27]Tabla Impacto'!$F$29,J9='[27]Tabla Impacto'!$F$35,J9='[27]Tabla Impacto'!$F$39),"Catastrófico","")))))</f>
        <v>Moderado</v>
      </c>
      <c r="M9" s="225">
        <f>IF(L9="","",IF(L9="Leve",0.2,IF(L9="Menor",0.4,IF(L9="Moderado",0.6,IF(L9="Mayor",0.8,IF(L9="Catastrófico",1,))))))</f>
        <v>0.6</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461</v>
      </c>
      <c r="Q9" s="24" t="s">
        <v>468</v>
      </c>
      <c r="R9" s="23" t="str">
        <f t="shared" ref="R9:R18" si="0">IF(OR(S9="Preventivo",S9="Detectivo"),"Probabilidad",IF(S9="Correctivo","Impacto",""))</f>
        <v>Probabilidad</v>
      </c>
      <c r="S9" s="12" t="s">
        <v>61</v>
      </c>
      <c r="T9" s="12" t="s">
        <v>260</v>
      </c>
      <c r="U9" s="25" t="str">
        <f>IF(AND(S9="Preventivo",T9="Automático"),"50%",IF(AND(S9="Preventivo",T9="Manual"),"40%",IF(AND(S9="Detectivo",T9="Automático"),"40%",IF(AND(S9="Detectivo",T9="Manual"),"30%",IF(AND(S9="Correctivo",T9="Automático"),"35%",IF(AND(S9="Correctivo",T9="Manual"),"25%",""))))))</f>
        <v>50%</v>
      </c>
      <c r="V9" s="12" t="s">
        <v>70</v>
      </c>
      <c r="W9" s="12" t="s">
        <v>64</v>
      </c>
      <c r="X9" s="12" t="s">
        <v>65</v>
      </c>
      <c r="Y9" s="26">
        <f>IFERROR(IF(R9="Probabilidad",(I9-(+I9*U9)),IF(R9="Impacto",I9,"")),"")</f>
        <v>0.3</v>
      </c>
      <c r="Z9" s="19" t="str">
        <f>IFERROR(IF(Y9="","",IF(Y9&lt;=0.2,"Muy Baja",IF(Y9&lt;=0.4,"Baja",IF(Y9&lt;=0.6,"Media",IF(Y9&lt;=0.8,"Alta","Muy Alta"))))),"")</f>
        <v>Baja</v>
      </c>
      <c r="AA9" s="25">
        <f>+Y9</f>
        <v>0.3</v>
      </c>
      <c r="AB9" s="19" t="str">
        <f>IFERROR(IF(AC9="","",IF(AC9&lt;=0.2,"Leve",IF(AC9&lt;=0.4,"Menor",IF(AC9&lt;=0.6,"Moderado",IF(AC9&lt;=0.8,"Mayor","Catastrófico"))))),"")</f>
        <v>Moderado</v>
      </c>
      <c r="AC9" s="25">
        <f>IFERROR(IF(R9="Impacto",(M9-(+M9*U9)),IF(R9="Probabilidad",M9,"")),"")</f>
        <v>0.6</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66</v>
      </c>
      <c r="AF9" s="18" t="s">
        <v>473</v>
      </c>
      <c r="AG9" s="12" t="s">
        <v>480</v>
      </c>
      <c r="AH9" s="27">
        <v>45442</v>
      </c>
      <c r="AI9" s="27">
        <v>45473</v>
      </c>
      <c r="AJ9" s="18"/>
      <c r="AK9" s="12"/>
    </row>
    <row r="10" spans="1:37" s="3" customFormat="1" ht="60">
      <c r="A10" s="231"/>
      <c r="B10" s="232"/>
      <c r="C10" s="232"/>
      <c r="D10" s="232"/>
      <c r="E10" s="233"/>
      <c r="F10" s="232"/>
      <c r="G10" s="232"/>
      <c r="H10" s="226"/>
      <c r="I10" s="225"/>
      <c r="J10" s="224"/>
      <c r="K10" s="225">
        <f ca="1">IF(NOT(ISERROR(MATCH(J10,_xlfn.ANCHORARRAY(E13),0))),#REF!&amp;"Por favor no seleccionar los criterios de impacto",J10)</f>
        <v>0</v>
      </c>
      <c r="L10" s="226"/>
      <c r="M10" s="225"/>
      <c r="N10" s="227"/>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1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1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t="s">
        <v>474</v>
      </c>
      <c r="AG10" s="12" t="s">
        <v>481</v>
      </c>
      <c r="AH10" s="27">
        <v>45442</v>
      </c>
      <c r="AI10" s="27">
        <v>45473</v>
      </c>
      <c r="AJ10" s="18"/>
      <c r="AK10" s="12"/>
    </row>
    <row r="11" spans="1:37" ht="60">
      <c r="A11" s="231">
        <v>2</v>
      </c>
      <c r="B11" s="232" t="s">
        <v>140</v>
      </c>
      <c r="C11" s="232" t="s">
        <v>447</v>
      </c>
      <c r="D11" s="232" t="s">
        <v>452</v>
      </c>
      <c r="E11" s="233" t="s">
        <v>457</v>
      </c>
      <c r="F11" s="232" t="s">
        <v>277</v>
      </c>
      <c r="G11" s="232" t="s">
        <v>106</v>
      </c>
      <c r="H11" s="226" t="str">
        <f>IF(G11="","",IF('[27]Mapa final'!G11='[27]Tabla probabilidad'!$C$4,"MUY BAJA",IF('[27]Mapa final'!G11='[27]Tabla probabilidad'!$C$5,"BAJA",IF('[27]Mapa final'!G11='[27]Tabla probabilidad'!$C$6,"MEDIA",IF('[27]Mapa final'!G11='[27]Tabla probabilidad'!$C$7,"ALTA",IF('[27]Mapa final'!G11='[27]Tabla probabilidad'!$C$8,"MUY ALTA"))))))</f>
        <v>MUY ALTA</v>
      </c>
      <c r="I11" s="225">
        <f t="shared" ref="I11" si="8">IF(H11="","",IF(H11="Muy Baja",0.2,IF(H11="Baja",0.4,IF(H11="Media",0.6,IF(H11="Alta",0.8,IF(H11="Muy Alta",1,))))))</f>
        <v>1</v>
      </c>
      <c r="J11" s="224" t="s">
        <v>77</v>
      </c>
      <c r="K11" s="225" t="str">
        <f>IF(J11="","",IF(NOT(ISERROR(MATCH(J11,'[27]Tabla Impacto'!$B$37:$B$39,0))),'[27]Tabla Impacto'!$F$37&amp;"Por favor no seleccionar los criterios de impacto(Afectación Económica o presupuestal y Pérdida Reputacional)",J11))</f>
        <v xml:space="preserve">     El riesgo afecta la imagen de la entidad con algunos usuarios de relevancia frente al logro de los objetivos</v>
      </c>
      <c r="L11" s="226" t="str">
        <f>IF(OR(J11='[27]Tabla Impacto'!$F$25,J11='[27]Tabla Impacto'!$F$31),"Leve",IF(OR(J11='[27]Tabla Impacto'!$F$26,J11='[27]Tabla Impacto'!$F$32),"Menor",IF(OR(J11='[27]Tabla Impacto'!$F$27,J11='[27]Tabla Impacto'!$F$33,J11='[27]Tabla Impacto'!$F$37),"Moderado",IF(OR(J11='[27]Tabla Impacto'!$F$28,J11='[27]Tabla Impacto'!$F$34,J11='[27]Tabla Impacto'!$F$38),"Mayor",IF(OR(J11='[27]Tabla Impacto'!$F$29,J11='[27]Tabla Impacto'!$F$35,J11='[27]Tabla Impacto'!$F$39),"Catastrófico","")))))</f>
        <v>Moderado</v>
      </c>
      <c r="M11" s="225">
        <f t="shared" ref="M11" si="9">IF(L11="","",IF(L11="Leve",0.2,IF(L11="Menor",0.4,IF(L11="Moderado",0.6,IF(L11="Mayor",0.8,IF(L11="Catastrófico",1,))))))</f>
        <v>0.6</v>
      </c>
      <c r="N11" s="227"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3">
        <v>1</v>
      </c>
      <c r="P11" s="24" t="s">
        <v>462</v>
      </c>
      <c r="Q11" s="5" t="s">
        <v>469</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123</v>
      </c>
      <c r="X11" s="12" t="s">
        <v>65</v>
      </c>
      <c r="Y11" s="26">
        <f t="shared" si="2"/>
        <v>0.6</v>
      </c>
      <c r="Z11" s="19" t="str">
        <f>IFERROR(IF(Y11="","",IF(Y11&lt;=0.2,"Muy Baja",IF(Y11&lt;=0.4,"Baja",IF(Y11&lt;=0.6,"Media",IF(Y11&lt;=0.8,"Alta","Muy Alta"))))),"")</f>
        <v>Media</v>
      </c>
      <c r="AA11" s="25">
        <f>+Y11</f>
        <v>0.6</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66</v>
      </c>
      <c r="AF11" s="18" t="s">
        <v>475</v>
      </c>
      <c r="AG11" s="12" t="s">
        <v>481</v>
      </c>
      <c r="AH11" s="27">
        <v>45442</v>
      </c>
      <c r="AI11" s="27">
        <v>45473</v>
      </c>
      <c r="AJ11" s="18"/>
      <c r="AK11" s="12"/>
    </row>
    <row r="12" spans="1:37" ht="60">
      <c r="A12" s="231"/>
      <c r="B12" s="232"/>
      <c r="C12" s="232"/>
      <c r="D12" s="232"/>
      <c r="E12" s="233"/>
      <c r="F12" s="232"/>
      <c r="G12" s="232"/>
      <c r="H12" s="226"/>
      <c r="I12" s="225"/>
      <c r="J12" s="224"/>
      <c r="K12" s="225">
        <f ca="1">IF(NOT(ISERROR(MATCH(J12,_xlfn.ANCHORARRAY(E15),0))),#REF!&amp;"Por favor no seleccionar los criterios de impacto",J12)</f>
        <v>0</v>
      </c>
      <c r="L12" s="226"/>
      <c r="M12" s="225"/>
      <c r="N12" s="227"/>
      <c r="O12" s="23">
        <v>2</v>
      </c>
      <c r="P12" s="24" t="s">
        <v>463</v>
      </c>
      <c r="Q12" s="24" t="s">
        <v>469</v>
      </c>
      <c r="R12" s="23" t="str">
        <f t="shared" si="0"/>
        <v>Impacto</v>
      </c>
      <c r="S12" s="12" t="s">
        <v>122</v>
      </c>
      <c r="T12" s="12" t="s">
        <v>62</v>
      </c>
      <c r="U12" s="25" t="str">
        <f t="shared" ref="U12" si="11">IF(AND(S12="Preventivo",T12="Automático"),"50%",IF(AND(S12="Preventivo",T12="Manual"),"40%",IF(AND(S12="Detectivo",T12="Automático"),"40%",IF(AND(S12="Detectivo",T12="Manual"),"30%",IF(AND(S12="Correctivo",T12="Automático"),"35%",IF(AND(S12="Correctivo",T12="Manual"),"25%",""))))))</f>
        <v>25%</v>
      </c>
      <c r="V12" s="12" t="s">
        <v>70</v>
      </c>
      <c r="W12" s="12" t="s">
        <v>64</v>
      </c>
      <c r="X12" s="12" t="s">
        <v>65</v>
      </c>
      <c r="Y12" s="26">
        <f t="shared" si="2"/>
        <v>0</v>
      </c>
      <c r="Z12" s="19" t="str">
        <f t="shared" ref="Z12:Z18" si="12">IFERROR(IF(Y12="","",IF(Y12&lt;=0.2,"Muy Baja",IF(Y12&lt;=0.4,"Baja",IF(Y12&lt;=0.6,"Media",IF(Y12&lt;=0.8,"Alta","Muy Alta"))))),"")</f>
        <v>Muy Baja</v>
      </c>
      <c r="AA12" s="25">
        <f t="shared" ref="AA12" si="13">+Y12</f>
        <v>0</v>
      </c>
      <c r="AB12" s="19" t="str">
        <f t="shared" ref="AB12:AB1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t="s">
        <v>476</v>
      </c>
      <c r="AG12" s="12" t="s">
        <v>481</v>
      </c>
      <c r="AH12" s="27">
        <v>45442</v>
      </c>
      <c r="AI12" s="27">
        <v>45473</v>
      </c>
      <c r="AJ12" s="18"/>
      <c r="AK12" s="12"/>
    </row>
    <row r="13" spans="1:37" ht="60">
      <c r="A13" s="231">
        <v>3</v>
      </c>
      <c r="B13" s="232" t="s">
        <v>52</v>
      </c>
      <c r="C13" s="232" t="s">
        <v>448</v>
      </c>
      <c r="D13" s="232" t="s">
        <v>453</v>
      </c>
      <c r="E13" s="233" t="s">
        <v>458</v>
      </c>
      <c r="F13" s="232" t="s">
        <v>291</v>
      </c>
      <c r="G13" s="232" t="s">
        <v>106</v>
      </c>
      <c r="H13" s="226" t="str">
        <f>IF(G13="","",IF('[27]Mapa final'!G13='[27]Tabla probabilidad'!$C$4,"MUY BAJA",IF('[27]Mapa final'!G13='[27]Tabla probabilidad'!$C$5,"BAJA",IF('[27]Mapa final'!G13='[27]Tabla probabilidad'!$C$6,"MEDIA",IF('[27]Mapa final'!G13='[27]Tabla probabilidad'!$C$7,"ALTA",IF('[27]Mapa final'!G13='[27]Tabla probabilidad'!$C$8,"MUY ALTA"))))))</f>
        <v>MUY ALTA</v>
      </c>
      <c r="I13" s="225">
        <f t="shared" ref="I13" si="16">IF(H13="","",IF(H13="Muy Baja",0.2,IF(H13="Baja",0.4,IF(H13="Media",0.6,IF(H13="Alta",0.8,IF(H13="Muy Alta",1,))))))</f>
        <v>1</v>
      </c>
      <c r="J13" s="224" t="s">
        <v>77</v>
      </c>
      <c r="K13" s="225" t="str">
        <f>IF(J13="","",IF(NOT(ISERROR(MATCH(J13,'[27]Tabla Impacto'!$B$37:$B$39,0))),'[27]Tabla Impacto'!$F$37&amp;"Por favor no seleccionar los criterios de impacto(Afectación Económica o presupuestal y Pérdida Reputacional)",J13))</f>
        <v xml:space="preserve">     El riesgo afecta la imagen de la entidad con algunos usuarios de relevancia frente al logro de los objetivos</v>
      </c>
      <c r="L13" s="226" t="str">
        <f>IF(OR(J13='[27]Tabla Impacto'!$F$25,J13='[27]Tabla Impacto'!$F$31),"Leve",IF(OR(J13='[27]Tabla Impacto'!$F$26,J13='[27]Tabla Impacto'!$F$32),"Menor",IF(OR(J13='[27]Tabla Impacto'!$F$27,J13='[27]Tabla Impacto'!$F$33,J13='[27]Tabla Impacto'!$F$37),"Moderado",IF(OR(J13='[27]Tabla Impacto'!$F$28,J13='[27]Tabla Impacto'!$F$34,J13='[27]Tabla Impacto'!$F$38),"Mayor",IF(OR(J13='[27]Tabla Impacto'!$F$29,J13='[27]Tabla Impacto'!$F$35,J13='[27]Tabla Impacto'!$F$39),"Catastrófico","")))))</f>
        <v>Moderado</v>
      </c>
      <c r="M13" s="225">
        <f t="shared" ref="M13" si="17">IF(L13="","",IF(L13="Leve",0.2,IF(L13="Menor",0.4,IF(L13="Moderado",0.6,IF(L13="Mayor",0.8,IF(L13="Catastrófico",1,))))))</f>
        <v>0.6</v>
      </c>
      <c r="N13" s="227"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23">
        <v>1</v>
      </c>
      <c r="P13" s="24" t="s">
        <v>464</v>
      </c>
      <c r="Q13" s="24" t="s">
        <v>470</v>
      </c>
      <c r="R13" s="23" t="str">
        <f t="shared" si="0"/>
        <v>Impacto</v>
      </c>
      <c r="S13" s="12" t="s">
        <v>122</v>
      </c>
      <c r="T13" s="12" t="s">
        <v>62</v>
      </c>
      <c r="U13" s="25" t="str">
        <f>IF(AND(S13="Preventivo",T13="Automático"),"50%",IF(AND(S13="Preventivo",T13="Manual"),"40%",IF(AND(S13="Detectivo",T13="Automático"),"40%",IF(AND(S13="Detectivo",T13="Manual"),"30%",IF(AND(S13="Correctivo",T13="Automático"),"35%",IF(AND(S13="Correctivo",T13="Manual"),"25%",""))))))</f>
        <v>25%</v>
      </c>
      <c r="V13" s="12" t="s">
        <v>70</v>
      </c>
      <c r="W13" s="12" t="s">
        <v>64</v>
      </c>
      <c r="X13" s="12" t="s">
        <v>65</v>
      </c>
      <c r="Y13" s="26">
        <f t="shared" si="2"/>
        <v>1</v>
      </c>
      <c r="Z13" s="19" t="str">
        <f>IFERROR(IF(Y13="","",IF(Y13&lt;=0.2,"Muy Baja",IF(Y13&lt;=0.4,"Baja",IF(Y13&lt;=0.6,"Media",IF(Y13&lt;=0.8,"Alta","Muy Alta"))))),"")</f>
        <v>Muy Alta</v>
      </c>
      <c r="AA13" s="25">
        <f>+Y13</f>
        <v>1</v>
      </c>
      <c r="AB13" s="19" t="str">
        <f>IFERROR(IF(AC13="","",IF(AC13&lt;=0.2,"Leve",IF(AC13&lt;=0.4,"Menor",IF(AC13&lt;=0.6,"Moderado",IF(AC13&lt;=0.8,"Mayor","Catastrófico"))))),"")</f>
        <v>Moderado</v>
      </c>
      <c r="AC13" s="25">
        <f t="shared" si="6"/>
        <v>0.44999999999999996</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2" t="s">
        <v>66</v>
      </c>
      <c r="AF13" s="18" t="s">
        <v>477</v>
      </c>
      <c r="AG13" s="12" t="s">
        <v>481</v>
      </c>
      <c r="AH13" s="27">
        <v>45442</v>
      </c>
      <c r="AI13" s="27">
        <v>45473</v>
      </c>
      <c r="AJ13" s="18"/>
      <c r="AK13" s="12"/>
    </row>
    <row r="14" spans="1:37">
      <c r="A14" s="231"/>
      <c r="B14" s="232"/>
      <c r="C14" s="232"/>
      <c r="D14" s="232"/>
      <c r="E14" s="233"/>
      <c r="F14" s="232"/>
      <c r="G14" s="232"/>
      <c r="H14" s="226"/>
      <c r="I14" s="225"/>
      <c r="J14" s="224"/>
      <c r="K14" s="225">
        <f ca="1">IF(NOT(ISERROR(MATCH(J14,_xlfn.ANCHORARRAY(E17),0))),#REF!&amp;"Por favor no seleccionar los criterios de impacto",J14)</f>
        <v>0</v>
      </c>
      <c r="L14" s="226"/>
      <c r="M14" s="225"/>
      <c r="N14" s="227"/>
      <c r="O14" s="23">
        <v>2</v>
      </c>
      <c r="P14" s="24"/>
      <c r="Q14" s="24"/>
      <c r="R14" s="23"/>
      <c r="S14" s="12"/>
      <c r="T14" s="12"/>
      <c r="U14" s="25" t="str">
        <f t="shared" ref="U14" si="19">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v>45442</v>
      </c>
      <c r="AI14" s="27">
        <v>45473</v>
      </c>
      <c r="AJ14" s="18"/>
      <c r="AK14" s="12"/>
    </row>
    <row r="15" spans="1:37" ht="51">
      <c r="A15" s="231">
        <v>4</v>
      </c>
      <c r="B15" s="232" t="s">
        <v>52</v>
      </c>
      <c r="C15" s="232" t="s">
        <v>449</v>
      </c>
      <c r="D15" s="232" t="s">
        <v>454</v>
      </c>
      <c r="E15" s="233" t="s">
        <v>459</v>
      </c>
      <c r="F15" s="232" t="s">
        <v>56</v>
      </c>
      <c r="G15" s="232" t="s">
        <v>57</v>
      </c>
      <c r="H15" s="226" t="str">
        <f>IF(G15="","",IF('[27]Mapa final'!G15='[27]Tabla probabilidad'!$C$4,"MUY BAJA",IF('[27]Mapa final'!G15='[27]Tabla probabilidad'!$C$5,"BAJA",IF('[27]Mapa final'!G15='[27]Tabla probabilidad'!$C$6,"MEDIA",IF('[27]Mapa final'!G15='[27]Tabla probabilidad'!$C$7,"ALTA",IF('[27]Mapa final'!G15='[27]Tabla probabilidad'!$C$8,"MUY ALTA"))))))</f>
        <v>MEDIA</v>
      </c>
      <c r="I15" s="225">
        <f t="shared" ref="I15" si="22">IF(H15="","",IF(H15="Muy Baja",0.2,IF(H15="Baja",0.4,IF(H15="Media",0.6,IF(H15="Alta",0.8,IF(H15="Muy Alta",1,))))))</f>
        <v>0.6</v>
      </c>
      <c r="J15" s="224" t="s">
        <v>77</v>
      </c>
      <c r="K15" s="225" t="str">
        <f>IF(J15="","",IF(NOT(ISERROR(MATCH(J15,'[27]Tabla Impacto'!$B$37:$B$39,0))),'[27]Tabla Impacto'!$F$37&amp;"Por favor no seleccionar los criterios de impacto(Afectación Económica o presupuestal y Pérdida Reputacional)",J15))</f>
        <v xml:space="preserve">     El riesgo afecta la imagen de la entidad con algunos usuarios de relevancia frente al logro de los objetivos</v>
      </c>
      <c r="L15" s="226" t="str">
        <f>IF(OR(J15='[27]Tabla Impacto'!$F$25,J15='[27]Tabla Impacto'!$F$31),"Leve",IF(OR(J15='[27]Tabla Impacto'!$F$26,J15='[27]Tabla Impacto'!$F$32),"Menor",IF(OR(J15='[27]Tabla Impacto'!$F$27,J15='[27]Tabla Impacto'!$F$33,J15='[27]Tabla Impacto'!$F$37),"Moderado",IF(OR(J15='[27]Tabla Impacto'!$F$28,J15='[27]Tabla Impacto'!$F$34,J15='[27]Tabla Impacto'!$F$38),"Mayor",IF(OR(J15='[27]Tabla Impacto'!$F$29,J15='[27]Tabla Impacto'!$F$35,J15='[27]Tabla Impacto'!$F$39),"Catastrófico","")))))</f>
        <v>Moderado</v>
      </c>
      <c r="M15" s="225">
        <f t="shared" ref="M15" si="23">IF(L15="","",IF(L15="Leve",0.2,IF(L15="Menor",0.4,IF(L15="Moderado",0.6,IF(L15="Mayor",0.8,IF(L15="Catastrófico",1,))))))</f>
        <v>0.6</v>
      </c>
      <c r="N15" s="227"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23">
        <v>1</v>
      </c>
      <c r="P15" s="24" t="s">
        <v>465</v>
      </c>
      <c r="Q15" s="24" t="s">
        <v>471</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2"/>
        <v>0.36</v>
      </c>
      <c r="Z15" s="19" t="str">
        <f>IFERROR(IF(Y15="","",IF(Y15&lt;=0.2,"Muy Baja",IF(Y15&lt;=0.4,"Baja",IF(Y15&lt;=0.6,"Media",IF(Y15&lt;=0.8,"Alta","Muy Alta"))))),"")</f>
        <v>Baja</v>
      </c>
      <c r="AA15" s="25">
        <f>+Y15</f>
        <v>0.36</v>
      </c>
      <c r="AB15" s="19" t="str">
        <f>IFERROR(IF(AC15="","",IF(AC15&lt;=0.2,"Leve",IF(AC15&lt;=0.4,"Menor",IF(AC15&lt;=0.6,"Moderado",IF(AC15&lt;=0.8,"Mayor","Catastrófico"))))),"")</f>
        <v>Moderado</v>
      </c>
      <c r="AC15" s="25">
        <f t="shared" si="6"/>
        <v>0.6</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2" t="s">
        <v>66</v>
      </c>
      <c r="AF15" s="18" t="s">
        <v>478</v>
      </c>
      <c r="AG15" s="12" t="s">
        <v>481</v>
      </c>
      <c r="AH15" s="27">
        <v>45442</v>
      </c>
      <c r="AI15" s="27">
        <v>45473</v>
      </c>
      <c r="AJ15" s="18"/>
      <c r="AK15" s="12"/>
    </row>
    <row r="16" spans="1:37" ht="89.25">
      <c r="A16" s="231"/>
      <c r="B16" s="232"/>
      <c r="C16" s="232"/>
      <c r="D16" s="232"/>
      <c r="E16" s="233"/>
      <c r="F16" s="232"/>
      <c r="G16" s="232"/>
      <c r="H16" s="226"/>
      <c r="I16" s="225"/>
      <c r="J16" s="224"/>
      <c r="K16" s="225">
        <f ca="1">IF(NOT(ISERROR(MATCH(J16,_xlfn.ANCHORARRAY(#REF!),0))),#REF!&amp;"Por favor no seleccionar los criterios de impacto",J16)</f>
        <v>0</v>
      </c>
      <c r="L16" s="226"/>
      <c r="M16" s="225"/>
      <c r="N16" s="227"/>
      <c r="O16" s="23">
        <v>2</v>
      </c>
      <c r="P16" s="24" t="s">
        <v>466</v>
      </c>
      <c r="Q16" s="24" t="s">
        <v>471</v>
      </c>
      <c r="R16" s="23" t="str">
        <f t="shared" si="0"/>
        <v>Probabilidad</v>
      </c>
      <c r="S16" s="12" t="s">
        <v>61</v>
      </c>
      <c r="T16" s="12" t="s">
        <v>62</v>
      </c>
      <c r="U16" s="25" t="str">
        <f t="shared" ref="U16" si="25">IF(AND(S16="Preventivo",T16="Automático"),"50%",IF(AND(S16="Preventivo",T16="Manual"),"40%",IF(AND(S16="Detectivo",T16="Automático"),"40%",IF(AND(S16="Detectivo",T16="Manual"),"30%",IF(AND(S16="Correctivo",T16="Automático"),"35%",IF(AND(S16="Correctivo",T16="Manual"),"25%",""))))))</f>
        <v>40%</v>
      </c>
      <c r="V16" s="12" t="s">
        <v>70</v>
      </c>
      <c r="W16" s="12" t="s">
        <v>64</v>
      </c>
      <c r="X16" s="12" t="s">
        <v>65</v>
      </c>
      <c r="Y16" s="26">
        <f t="shared" si="2"/>
        <v>0</v>
      </c>
      <c r="Z16" s="19" t="str">
        <f t="shared" si="12"/>
        <v>Muy Baja</v>
      </c>
      <c r="AA16" s="25">
        <f t="shared" ref="AA16" si="26">+Y16</f>
        <v>0</v>
      </c>
      <c r="AB16" s="19" t="str">
        <f t="shared" si="14"/>
        <v>Leve</v>
      </c>
      <c r="AC16" s="25">
        <f t="shared" si="6"/>
        <v>0</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2" t="s">
        <v>66</v>
      </c>
      <c r="AF16" s="18" t="s">
        <v>474</v>
      </c>
      <c r="AG16" s="12" t="s">
        <v>481</v>
      </c>
      <c r="AH16" s="27">
        <v>45442</v>
      </c>
      <c r="AI16" s="27">
        <v>45473</v>
      </c>
      <c r="AJ16" s="18"/>
      <c r="AK16" s="12"/>
    </row>
    <row r="17" spans="1:37" ht="60">
      <c r="A17" s="231">
        <v>5</v>
      </c>
      <c r="B17" s="232" t="s">
        <v>140</v>
      </c>
      <c r="C17" s="232" t="s">
        <v>450</v>
      </c>
      <c r="D17" s="232" t="s">
        <v>455</v>
      </c>
      <c r="E17" s="233" t="s">
        <v>460</v>
      </c>
      <c r="F17" s="232" t="s">
        <v>56</v>
      </c>
      <c r="G17" s="232" t="s">
        <v>57</v>
      </c>
      <c r="H17" s="226" t="str">
        <f>IF(G17="","",IF('[27]Mapa final'!G17='[27]Tabla probabilidad'!$C$4,"MUY BAJA",IF('[27]Mapa final'!G17='[27]Tabla probabilidad'!$C$5,"BAJA",IF('[27]Mapa final'!G17='[27]Tabla probabilidad'!$C$6,"MEDIA",IF('[27]Mapa final'!G17='[27]Tabla probabilidad'!$C$7,"ALTA",IF('[27]Mapa final'!G17='[27]Tabla probabilidad'!$C$8,"MUY ALTA"))))))</f>
        <v>MEDIA</v>
      </c>
      <c r="I17" s="225">
        <f t="shared" ref="I17" si="28">IF(H17="","",IF(H17="Muy Baja",0.2,IF(H17="Baja",0.4,IF(H17="Media",0.6,IF(H17="Alta",0.8,IF(H17="Muy Alta",1,))))))</f>
        <v>0.6</v>
      </c>
      <c r="J17" s="224" t="s">
        <v>77</v>
      </c>
      <c r="K17" s="225" t="str">
        <f>IF(J17="","",IF(NOT(ISERROR(MATCH(J17,'[27]Tabla Impacto'!$B$37:$B$39,0))),'[27]Tabla Impacto'!$F$37&amp;"Por favor no seleccionar los criterios de impacto(Afectación Económica o presupuestal y Pérdida Reputacional)",J17))</f>
        <v xml:space="preserve">     El riesgo afecta la imagen de la entidad con algunos usuarios de relevancia frente al logro de los objetivos</v>
      </c>
      <c r="L17" s="226" t="str">
        <f>IF(OR(J17='[27]Tabla Impacto'!$F$25,J17='[27]Tabla Impacto'!$F$31),"Leve",IF(OR(J17='[27]Tabla Impacto'!$F$26,J17='[27]Tabla Impacto'!$F$32),"Menor",IF(OR(J17='[27]Tabla Impacto'!$F$27,J17='[27]Tabla Impacto'!$F$33,J17='[27]Tabla Impacto'!$F$37),"Moderado",IF(OR(J17='[27]Tabla Impacto'!$F$28,J17='[27]Tabla Impacto'!$F$34,J17='[27]Tabla Impacto'!$F$38),"Mayor",IF(OR(J17='[27]Tabla Impacto'!$F$29,J17='[27]Tabla Impacto'!$F$35,J17='[27]Tabla Impacto'!$F$39),"Catastrófico","")))))</f>
        <v>Moderado</v>
      </c>
      <c r="M17" s="225">
        <f t="shared" ref="M17" si="29">IF(L17="","",IF(L17="Leve",0.2,IF(L17="Menor",0.4,IF(L17="Moderado",0.6,IF(L17="Mayor",0.8,IF(L17="Catastrófico",1,))))))</f>
        <v>0.6</v>
      </c>
      <c r="N17" s="227"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23">
        <v>1</v>
      </c>
      <c r="P17" s="24" t="s">
        <v>467</v>
      </c>
      <c r="Q17" s="24" t="s">
        <v>472</v>
      </c>
      <c r="R17" s="23" t="str">
        <f t="shared" si="0"/>
        <v>Probabilidad</v>
      </c>
      <c r="S17" s="12" t="s">
        <v>61</v>
      </c>
      <c r="T17" s="12" t="s">
        <v>62</v>
      </c>
      <c r="U17" s="25" t="str">
        <f>IF(AND(S17="Preventivo",T17="Automático"),"50%",IF(AND(S17="Preventivo",T17="Manual"),"40%",IF(AND(S17="Detectivo",T17="Automático"),"40%",IF(AND(S17="Detectivo",T17="Manual"),"30%",IF(AND(S17="Correctivo",T17="Automático"),"35%",IF(AND(S17="Correctivo",T17="Manual"),"25%",""))))))</f>
        <v>40%</v>
      </c>
      <c r="V17" s="12" t="s">
        <v>70</v>
      </c>
      <c r="W17" s="12" t="s">
        <v>64</v>
      </c>
      <c r="X17" s="12" t="s">
        <v>65</v>
      </c>
      <c r="Y17" s="26">
        <f t="shared" si="2"/>
        <v>0.36</v>
      </c>
      <c r="Z17" s="19" t="str">
        <f>IFERROR(IF(Y17="","",IF(Y17&lt;=0.2,"Muy Baja",IF(Y17&lt;=0.4,"Baja",IF(Y17&lt;=0.6,"Media",IF(Y17&lt;=0.8,"Alta","Muy Alta"))))),"")</f>
        <v>Baja</v>
      </c>
      <c r="AA17" s="25">
        <f>+Y17</f>
        <v>0.36</v>
      </c>
      <c r="AB17" s="19" t="str">
        <f>IFERROR(IF(AC17="","",IF(AC17&lt;=0.2,"Leve",IF(AC17&lt;=0.4,"Menor",IF(AC17&lt;=0.6,"Moderado",IF(AC17&lt;=0.8,"Mayor","Catastrófico"))))),"")</f>
        <v>Moderado</v>
      </c>
      <c r="AC17" s="25">
        <f t="shared" si="6"/>
        <v>0.6</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2" t="s">
        <v>66</v>
      </c>
      <c r="AF17" s="18" t="s">
        <v>479</v>
      </c>
      <c r="AG17" s="12" t="s">
        <v>480</v>
      </c>
      <c r="AH17" s="27">
        <v>45442</v>
      </c>
      <c r="AI17" s="27">
        <v>45473</v>
      </c>
      <c r="AJ17" s="18"/>
      <c r="AK17" s="12"/>
    </row>
    <row r="18" spans="1:37">
      <c r="A18" s="231"/>
      <c r="B18" s="232"/>
      <c r="C18" s="232"/>
      <c r="D18" s="232"/>
      <c r="E18" s="233"/>
      <c r="F18" s="232"/>
      <c r="G18" s="232"/>
      <c r="H18" s="226"/>
      <c r="I18" s="225"/>
      <c r="J18" s="224"/>
      <c r="K18" s="225">
        <f ca="1">IF(NOT(ISERROR(MATCH(J18,_xlfn.ANCHORARRAY(#REF!),0))),#REF!&amp;"Por favor no seleccionar los criterios de impacto",J18)</f>
        <v>0</v>
      </c>
      <c r="L18" s="226"/>
      <c r="M18" s="225"/>
      <c r="N18" s="227"/>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2">+Y18</f>
        <v/>
      </c>
      <c r="AB18" s="19" t="str">
        <f t="shared" si="14"/>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ht="41.25" customHeight="1">
      <c r="A19" s="228" t="s">
        <v>97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30"/>
    </row>
    <row r="20" spans="1:37" s="168" customFormat="1">
      <c r="A20" s="28"/>
      <c r="B20" s="29" t="s">
        <v>98</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row>
  </sheetData>
  <dataConsolidate/>
  <mergeCells count="12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B15:B16"/>
    <mergeCell ref="C15:C16"/>
    <mergeCell ref="D15:D16"/>
    <mergeCell ref="E15:E16"/>
    <mergeCell ref="F15:F16"/>
    <mergeCell ref="I13:I14"/>
    <mergeCell ref="J13:J14"/>
    <mergeCell ref="K13:K14"/>
    <mergeCell ref="L13:L14"/>
    <mergeCell ref="A19:AK19"/>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s>
  <conditionalFormatting sqref="H9 H11 H13 H15 H17">
    <cfRule type="cellIs" dxfId="115" priority="25" operator="equal">
      <formula>"Muy Alta"</formula>
    </cfRule>
    <cfRule type="cellIs" dxfId="114" priority="26" operator="equal">
      <formula>"Alta"</formula>
    </cfRule>
    <cfRule type="cellIs" dxfId="113" priority="27" operator="equal">
      <formula>"Media"</formula>
    </cfRule>
    <cfRule type="cellIs" dxfId="112" priority="28" operator="equal">
      <formula>"Baja"</formula>
    </cfRule>
    <cfRule type="cellIs" dxfId="111" priority="29" operator="equal">
      <formula>"Muy Baja"</formula>
    </cfRule>
  </conditionalFormatting>
  <conditionalFormatting sqref="K9:K18">
    <cfRule type="containsText" dxfId="110" priority="1" operator="containsText" text="❌">
      <formula>NOT(ISERROR(SEARCH("❌",K9)))</formula>
    </cfRule>
  </conditionalFormatting>
  <conditionalFormatting sqref="L9 L11 L13 L15 L17">
    <cfRule type="cellIs" dxfId="109" priority="20" operator="equal">
      <formula>"Catastrófico"</formula>
    </cfRule>
    <cfRule type="cellIs" dxfId="108" priority="21" operator="equal">
      <formula>"Mayor"</formula>
    </cfRule>
    <cfRule type="cellIs" dxfId="107" priority="22" operator="equal">
      <formula>"Moderado"</formula>
    </cfRule>
    <cfRule type="cellIs" dxfId="106" priority="23" operator="equal">
      <formula>"Menor"</formula>
    </cfRule>
    <cfRule type="cellIs" dxfId="105" priority="24" operator="equal">
      <formula>"Leve"</formula>
    </cfRule>
  </conditionalFormatting>
  <conditionalFormatting sqref="N9 N11 N13 N15 N17">
    <cfRule type="cellIs" dxfId="104" priority="16" operator="equal">
      <formula>"Extremo"</formula>
    </cfRule>
    <cfRule type="cellIs" dxfId="103" priority="17" operator="equal">
      <formula>"Alto"</formula>
    </cfRule>
    <cfRule type="cellIs" dxfId="102" priority="18" operator="equal">
      <formula>"Moderado"</formula>
    </cfRule>
    <cfRule type="cellIs" dxfId="101" priority="19" operator="equal">
      <formula>"Bajo"</formula>
    </cfRule>
  </conditionalFormatting>
  <conditionalFormatting sqref="Z9:Z18">
    <cfRule type="cellIs" dxfId="100" priority="11" operator="equal">
      <formula>"Muy Alta"</formula>
    </cfRule>
    <cfRule type="cellIs" dxfId="99" priority="12" operator="equal">
      <formula>"Alta"</formula>
    </cfRule>
    <cfRule type="cellIs" dxfId="98" priority="13" operator="equal">
      <formula>"Media"</formula>
    </cfRule>
    <cfRule type="cellIs" dxfId="97" priority="14" operator="equal">
      <formula>"Baja"</formula>
    </cfRule>
    <cfRule type="cellIs" dxfId="96" priority="15" operator="equal">
      <formula>"Muy Baja"</formula>
    </cfRule>
  </conditionalFormatting>
  <conditionalFormatting sqref="AB9:AB18">
    <cfRule type="cellIs" dxfId="95" priority="6" operator="equal">
      <formula>"Catastrófico"</formula>
    </cfRule>
    <cfRule type="cellIs" dxfId="94" priority="7" operator="equal">
      <formula>"Mayor"</formula>
    </cfRule>
    <cfRule type="cellIs" dxfId="93" priority="8" operator="equal">
      <formula>"Moderado"</formula>
    </cfRule>
    <cfRule type="cellIs" dxfId="92" priority="9" operator="equal">
      <formula>"Menor"</formula>
    </cfRule>
    <cfRule type="cellIs" dxfId="91" priority="10" operator="equal">
      <formula>"Leve"</formula>
    </cfRule>
  </conditionalFormatting>
  <conditionalFormatting sqref="AD9:AD18">
    <cfRule type="cellIs" dxfId="90" priority="2" operator="equal">
      <formula>"Extremo"</formula>
    </cfRule>
    <cfRule type="cellIs" dxfId="89" priority="3" operator="equal">
      <formula>"Alto"</formula>
    </cfRule>
    <cfRule type="cellIs" dxfId="88" priority="4" operator="equal">
      <formula>"Moderado"</formula>
    </cfRule>
    <cfRule type="cellIs" dxfId="87" priority="5" operator="equal">
      <formula>"Bajo"</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07A1-03D1-4326-8571-A94FB1DCC03C}">
  <sheetPr>
    <tabColor rgb="FF92D050"/>
  </sheetPr>
  <dimension ref="A1:AK18"/>
  <sheetViews>
    <sheetView topLeftCell="E1" zoomScale="80" zoomScaleNormal="80" workbookViewId="0">
      <selection activeCell="E1" sqref="E1:AG1"/>
    </sheetView>
  </sheetViews>
  <sheetFormatPr baseColWidth="10" defaultColWidth="11.42578125" defaultRowHeight="16.5"/>
  <cols>
    <col min="1" max="1" width="4" style="3" bestFit="1" customWidth="1"/>
    <col min="2" max="2" width="14.140625" style="3" customWidth="1"/>
    <col min="3" max="3" width="20.28515625" style="3" customWidth="1"/>
    <col min="4" max="4" width="21.85546875" style="3" customWidth="1"/>
    <col min="5" max="5" width="53.28515625" style="3" customWidth="1"/>
    <col min="6" max="6" width="19" style="3" customWidth="1"/>
    <col min="7" max="7" width="41" style="3" customWidth="1"/>
    <col min="8" max="8" width="16.5703125" style="3" customWidth="1"/>
    <col min="9" max="9" width="6.28515625" style="3" bestFit="1" customWidth="1"/>
    <col min="10" max="10" width="27.28515625" style="3" bestFit="1" customWidth="1"/>
    <col min="11" max="11" width="39.140625" style="3" customWidth="1"/>
    <col min="12" max="12" width="17.5703125" style="3" customWidth="1"/>
    <col min="13" max="13" width="6.28515625" style="3" bestFit="1" customWidth="1"/>
    <col min="14" max="14" width="16" style="3" customWidth="1"/>
    <col min="15" max="15" width="5.85546875" style="3" customWidth="1"/>
    <col min="16" max="16" width="42.28515625" style="3" customWidth="1"/>
    <col min="17" max="17" width="31" style="3" customWidth="1"/>
    <col min="18" max="18" width="15.140625" style="3" bestFit="1" customWidth="1"/>
    <col min="19" max="19" width="6.85546875" style="3" customWidth="1"/>
    <col min="20" max="20" width="5" style="3" customWidth="1"/>
    <col min="21" max="21" width="5.5703125" style="3" customWidth="1"/>
    <col min="22" max="22" width="7.85546875" style="3" customWidth="1"/>
    <col min="23" max="23" width="6.7109375" style="3" customWidth="1"/>
    <col min="24" max="24" width="7.5703125" style="3" customWidth="1"/>
    <col min="25" max="25" width="13.42578125" style="3" customWidth="1"/>
    <col min="26" max="26" width="8.7109375" style="3" customWidth="1"/>
    <col min="27" max="27" width="10.42578125" style="3" customWidth="1"/>
    <col min="28" max="28" width="9.28515625" style="3" customWidth="1"/>
    <col min="29" max="29" width="9.140625" style="3" customWidth="1"/>
    <col min="30" max="30" width="11.85546875" style="3" customWidth="1"/>
    <col min="31" max="31" width="7.28515625" style="3" customWidth="1"/>
    <col min="32" max="32" width="23" style="3" customWidth="1"/>
    <col min="33" max="33" width="18.85546875" style="3" customWidth="1"/>
    <col min="34" max="34" width="16.85546875" style="3" customWidth="1"/>
    <col min="35" max="35" width="14.85546875" style="3" customWidth="1"/>
    <col min="36" max="36" width="18.5703125" style="3" customWidth="1"/>
    <col min="37" max="37" width="21" style="3" customWidth="1"/>
    <col min="38" max="16384" width="11.42578125" style="3"/>
  </cols>
  <sheetData>
    <row r="1" spans="1:37" ht="30" customHeight="1">
      <c r="A1" s="231"/>
      <c r="B1" s="231"/>
      <c r="C1" s="231"/>
      <c r="D1" s="231"/>
      <c r="E1" s="253" t="s">
        <v>0</v>
      </c>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t="s">
        <v>1</v>
      </c>
      <c r="AI1" s="253"/>
      <c r="AJ1" s="253"/>
      <c r="AK1" s="253"/>
    </row>
    <row r="2" spans="1:37" ht="30" customHeight="1">
      <c r="A2" s="231"/>
      <c r="B2" s="231"/>
      <c r="C2" s="231"/>
      <c r="D2" s="231"/>
      <c r="E2" s="253" t="s">
        <v>2</v>
      </c>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t="s">
        <v>3</v>
      </c>
      <c r="AI2" s="253"/>
      <c r="AJ2" s="253"/>
      <c r="AK2" s="253"/>
    </row>
    <row r="3" spans="1:37" ht="30" customHeight="1">
      <c r="A3" s="231"/>
      <c r="B3" s="231"/>
      <c r="C3" s="231"/>
      <c r="D3" s="231"/>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t="s">
        <v>4</v>
      </c>
      <c r="AI3" s="253"/>
      <c r="AJ3" s="253"/>
      <c r="AK3" s="253"/>
    </row>
    <row r="5" spans="1:37" ht="26.25" customHeight="1">
      <c r="A5" s="396" t="s">
        <v>5</v>
      </c>
      <c r="B5" s="396"/>
      <c r="C5" s="395"/>
      <c r="D5" s="395"/>
      <c r="E5" s="395"/>
      <c r="F5" s="395"/>
      <c r="G5" s="395"/>
      <c r="H5" s="396" t="s">
        <v>7</v>
      </c>
      <c r="I5" s="396"/>
      <c r="J5" s="395"/>
      <c r="K5" s="395"/>
      <c r="L5" s="395"/>
      <c r="M5" s="395"/>
      <c r="N5" s="395"/>
      <c r="O5" s="396" t="s">
        <v>9</v>
      </c>
      <c r="P5" s="396"/>
      <c r="Q5" s="545"/>
      <c r="R5" s="546"/>
      <c r="S5" s="546"/>
      <c r="T5" s="546"/>
      <c r="U5" s="546"/>
      <c r="V5" s="546"/>
      <c r="W5" s="546"/>
      <c r="X5" s="546"/>
      <c r="Y5" s="546"/>
      <c r="Z5" s="546"/>
      <c r="AA5" s="546"/>
      <c r="AB5" s="546"/>
      <c r="AC5" s="546"/>
      <c r="AD5" s="546"/>
      <c r="AE5" s="547"/>
      <c r="AF5" s="166" t="s">
        <v>11</v>
      </c>
      <c r="AG5" s="544"/>
      <c r="AH5" s="544"/>
      <c r="AI5" s="544"/>
      <c r="AJ5" s="544"/>
      <c r="AK5" s="544"/>
    </row>
    <row r="6" spans="1:37">
      <c r="A6" s="388" t="s">
        <v>13</v>
      </c>
      <c r="B6" s="388"/>
      <c r="C6" s="388"/>
      <c r="D6" s="388"/>
      <c r="E6" s="388"/>
      <c r="F6" s="388"/>
      <c r="G6" s="388"/>
      <c r="H6" s="382" t="s">
        <v>14</v>
      </c>
      <c r="I6" s="382"/>
      <c r="J6" s="382"/>
      <c r="K6" s="382"/>
      <c r="L6" s="382"/>
      <c r="M6" s="382"/>
      <c r="N6" s="382"/>
      <c r="O6" s="391" t="s">
        <v>15</v>
      </c>
      <c r="P6" s="391"/>
      <c r="Q6" s="391"/>
      <c r="R6" s="391"/>
      <c r="S6" s="391"/>
      <c r="T6" s="391"/>
      <c r="U6" s="391"/>
      <c r="V6" s="391"/>
      <c r="W6" s="391"/>
      <c r="X6" s="391"/>
      <c r="Y6" s="392" t="s">
        <v>16</v>
      </c>
      <c r="Z6" s="392"/>
      <c r="AA6" s="392"/>
      <c r="AB6" s="392"/>
      <c r="AC6" s="392"/>
      <c r="AD6" s="392"/>
      <c r="AE6" s="392"/>
      <c r="AF6" s="393" t="s">
        <v>17</v>
      </c>
      <c r="AG6" s="393"/>
      <c r="AH6" s="393"/>
      <c r="AI6" s="393"/>
      <c r="AJ6" s="393"/>
      <c r="AK6" s="393"/>
    </row>
    <row r="7" spans="1:37" ht="16.5" customHeight="1">
      <c r="A7" s="387" t="s">
        <v>18</v>
      </c>
      <c r="B7" s="388" t="s">
        <v>19</v>
      </c>
      <c r="C7" s="389" t="s">
        <v>20</v>
      </c>
      <c r="D7" s="389" t="s">
        <v>21</v>
      </c>
      <c r="E7" s="388" t="s">
        <v>22</v>
      </c>
      <c r="F7" s="389" t="s">
        <v>23</v>
      </c>
      <c r="G7" s="389" t="s">
        <v>24</v>
      </c>
      <c r="H7" s="383" t="s">
        <v>25</v>
      </c>
      <c r="I7" s="382" t="s">
        <v>26</v>
      </c>
      <c r="J7" s="383" t="s">
        <v>27</v>
      </c>
      <c r="K7" s="383" t="s">
        <v>28</v>
      </c>
      <c r="L7" s="383" t="s">
        <v>29</v>
      </c>
      <c r="M7" s="382" t="s">
        <v>26</v>
      </c>
      <c r="N7" s="383" t="s">
        <v>30</v>
      </c>
      <c r="O7" s="384" t="s">
        <v>31</v>
      </c>
      <c r="P7" s="369" t="s">
        <v>32</v>
      </c>
      <c r="Q7" s="385" t="s">
        <v>33</v>
      </c>
      <c r="R7" s="369" t="s">
        <v>34</v>
      </c>
      <c r="S7" s="369" t="s">
        <v>35</v>
      </c>
      <c r="T7" s="369"/>
      <c r="U7" s="369"/>
      <c r="V7" s="369"/>
      <c r="W7" s="369"/>
      <c r="X7" s="369"/>
      <c r="Y7" s="370" t="s">
        <v>36</v>
      </c>
      <c r="Z7" s="370" t="s">
        <v>37</v>
      </c>
      <c r="AA7" s="370" t="s">
        <v>26</v>
      </c>
      <c r="AB7" s="370" t="s">
        <v>38</v>
      </c>
      <c r="AC7" s="370" t="s">
        <v>26</v>
      </c>
      <c r="AD7" s="370" t="s">
        <v>39</v>
      </c>
      <c r="AE7" s="370" t="s">
        <v>40</v>
      </c>
      <c r="AF7" s="368" t="s">
        <v>17</v>
      </c>
      <c r="AG7" s="368" t="s">
        <v>41</v>
      </c>
      <c r="AH7" s="368" t="s">
        <v>42</v>
      </c>
      <c r="AI7" s="368" t="s">
        <v>43</v>
      </c>
      <c r="AJ7" s="368" t="s">
        <v>44</v>
      </c>
      <c r="AK7" s="368" t="s">
        <v>45</v>
      </c>
    </row>
    <row r="8" spans="1:37" s="167" customFormat="1" ht="94.5" customHeight="1">
      <c r="A8" s="387"/>
      <c r="B8" s="388"/>
      <c r="C8" s="389"/>
      <c r="D8" s="389"/>
      <c r="E8" s="388"/>
      <c r="F8" s="389"/>
      <c r="G8" s="389"/>
      <c r="H8" s="383"/>
      <c r="I8" s="382"/>
      <c r="J8" s="383"/>
      <c r="K8" s="383"/>
      <c r="L8" s="382"/>
      <c r="M8" s="382"/>
      <c r="N8" s="383"/>
      <c r="O8" s="384"/>
      <c r="P8" s="369"/>
      <c r="Q8" s="386"/>
      <c r="R8" s="369"/>
      <c r="S8" s="80" t="s">
        <v>46</v>
      </c>
      <c r="T8" s="80" t="s">
        <v>47</v>
      </c>
      <c r="U8" s="80" t="s">
        <v>48</v>
      </c>
      <c r="V8" s="80" t="s">
        <v>49</v>
      </c>
      <c r="W8" s="80" t="s">
        <v>50</v>
      </c>
      <c r="X8" s="80" t="s">
        <v>51</v>
      </c>
      <c r="Y8" s="370"/>
      <c r="Z8" s="370"/>
      <c r="AA8" s="370"/>
      <c r="AB8" s="370"/>
      <c r="AC8" s="370"/>
      <c r="AD8" s="370"/>
      <c r="AE8" s="370"/>
      <c r="AF8" s="368"/>
      <c r="AG8" s="368"/>
      <c r="AH8" s="368"/>
      <c r="AI8" s="368"/>
      <c r="AJ8" s="368"/>
      <c r="AK8" s="368"/>
    </row>
    <row r="9" spans="1:37" ht="59.45" customHeight="1">
      <c r="A9" s="231">
        <v>1</v>
      </c>
      <c r="B9" s="374" t="s">
        <v>140</v>
      </c>
      <c r="C9" s="374" t="s">
        <v>482</v>
      </c>
      <c r="D9" s="374" t="s">
        <v>483</v>
      </c>
      <c r="E9" s="377" t="s">
        <v>484</v>
      </c>
      <c r="F9" s="374" t="s">
        <v>277</v>
      </c>
      <c r="G9" s="374" t="s">
        <v>57</v>
      </c>
      <c r="H9" s="542" t="str">
        <f>IF(G9="","",IF('Sec. Cultura y Turismo'!G9='[28]Tabla probabilidad'!$C$4,"MUY BAJA",IF('Sec. Cultura y Turismo'!G9='[28]Tabla probabilidad'!$C$5,"BAJA",IF('Sec. Cultura y Turismo'!G9='[28]Tabla probabilidad'!$C$6,"MEDIA",IF('Sec. Cultura y Turismo'!G9='[28]Tabla probabilidad'!$C$7,"ALTA",IF('Sec. Cultura y Turismo'!G9='[28]Tabla probabilidad'!$C$8,"MUY ALTA"))))))</f>
        <v>MEDIA</v>
      </c>
      <c r="I9" s="543">
        <f>IF(H9="","",IF(H9="Muy Baja",0.2,IF(H9="Baja",0.4,IF(H9="Media",0.6,IF(H9="Alta",0.8,IF(H9="Muy Alta",1,))))))</f>
        <v>0.6</v>
      </c>
      <c r="J9" s="381" t="s">
        <v>182</v>
      </c>
      <c r="K9" s="543" t="str">
        <f>IF(J9="","",IF(NOT(ISERROR(MATCH(J9,'[28]Tabla Impacto'!$B$37:$B$39,0))),'[28]Tabla Impacto'!$F$37&amp;"Por favor no seleccionar los criterios de impacto(Afectación Económica o presupuestal y Pérdida Reputacional)",J9))</f>
        <v xml:space="preserve">     Entre 50 y 100 SMLMV </v>
      </c>
      <c r="L9" s="542" t="str">
        <f>IF(OR(J9='[28]Tabla Impacto'!$F$25,J9='[28]Tabla Impacto'!$F$31),"Leve",IF(OR(J9='[28]Tabla Impacto'!$F$26,J9='[28]Tabla Impacto'!$F$32),"Menor",IF(OR(J9='[28]Tabla Impacto'!$F$27,J9='[28]Tabla Impacto'!$F$33,J9='[28]Tabla Impacto'!$F$37),"Moderado",IF(OR(J9='[28]Tabla Impacto'!$F$28,J9='[28]Tabla Impacto'!$F$34,J9='[28]Tabla Impacto'!$F$38),"Mayor",IF(OR(J9='[28]Tabla Impacto'!$F$29,J9='[28]Tabla Impacto'!$F$35,J9='[28]Tabla Impacto'!$F$39),"Catastrófico","")))))</f>
        <v>Moderado</v>
      </c>
      <c r="M9" s="543">
        <f>IF(L9="","",IF(L9="Leve",0.2,IF(L9="Menor",0.4,IF(L9="Moderado",0.6,IF(L9="Mayor",0.8,IF(L9="Catastrófico",1,))))))</f>
        <v>0.6</v>
      </c>
      <c r="N9" s="25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170" t="s">
        <v>485</v>
      </c>
      <c r="Q9" s="170" t="s">
        <v>486</v>
      </c>
      <c r="R9" s="1" t="str">
        <f>IF(OR(S9="Preventivo",S9="Detectivo"),"Probabilidad",IF(S9="Correctivo","Impacto",""))</f>
        <v>Probabilidad</v>
      </c>
      <c r="S9" s="82" t="s">
        <v>61</v>
      </c>
      <c r="T9" s="82" t="s">
        <v>62</v>
      </c>
      <c r="U9" s="171" t="str">
        <f t="shared" ref="U9:U16" si="0">IF(AND(S9="Preventivo",T9="Automático"),"50%",IF(AND(S9="Preventivo",T9="Manual"),"40%",IF(AND(S9="Detectivo",T9="Automático"),"40%",IF(AND(S9="Detectivo",T9="Manual"),"30%",IF(AND(S9="Correctivo",T9="Automático"),"35%",IF(AND(S9="Correctivo",T9="Manual"),"25%",""))))))</f>
        <v>40%</v>
      </c>
      <c r="V9" s="82" t="s">
        <v>63</v>
      </c>
      <c r="W9" s="82" t="s">
        <v>64</v>
      </c>
      <c r="X9" s="82" t="s">
        <v>65</v>
      </c>
      <c r="Y9" s="172">
        <f>IFERROR(IF(R9="Probabilidad",(I9-(+I9*U9)),IF(R9="Impacto",I9,"")),"")</f>
        <v>0.36</v>
      </c>
      <c r="Z9" s="169" t="str">
        <f>IFERROR(IF(Y9="","",IF(Y9&lt;=0.2,"Muy Baja",IF(Y9&lt;=0.4,"Baja",IF(Y9&lt;=0.6,"Media",IF(Y9&lt;=0.8,"Alta","Muy Alta"))))),"")</f>
        <v>Baja</v>
      </c>
      <c r="AA9" s="171">
        <f t="shared" ref="AA9:AA16" si="1">+Y9</f>
        <v>0.36</v>
      </c>
      <c r="AB9" s="169" t="str">
        <f>IFERROR(IF(AC9="","",IF(AC9&lt;=0.2,"Leve",IF(AC9&lt;=0.4,"Menor",IF(AC9&lt;=0.6,"Moderado",IF(AC9&lt;=0.8,"Mayor","Catastrófico"))))),"")</f>
        <v>Moderado</v>
      </c>
      <c r="AC9" s="171">
        <f>IFERROR(IF(R9="Impacto",(M9-(+M9*U9)),IF(R9="Probabilidad",M9,"")),"")</f>
        <v>0.6</v>
      </c>
      <c r="AD9" s="165" t="str">
        <f t="shared" ref="AD9:AD16" si="2">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2" t="s">
        <v>66</v>
      </c>
      <c r="AF9" s="81" t="s">
        <v>487</v>
      </c>
      <c r="AG9" s="81" t="s">
        <v>488</v>
      </c>
      <c r="AH9" s="84" t="s">
        <v>489</v>
      </c>
      <c r="AI9" s="84" t="s">
        <v>490</v>
      </c>
      <c r="AJ9" s="81" t="s">
        <v>491</v>
      </c>
      <c r="AK9" s="82" t="s">
        <v>226</v>
      </c>
    </row>
    <row r="10" spans="1:37" ht="52.9" customHeight="1">
      <c r="A10" s="231"/>
      <c r="B10" s="374"/>
      <c r="C10" s="374"/>
      <c r="D10" s="374"/>
      <c r="E10" s="377"/>
      <c r="F10" s="374"/>
      <c r="G10" s="374"/>
      <c r="H10" s="542"/>
      <c r="I10" s="543"/>
      <c r="J10" s="381"/>
      <c r="K10" s="543">
        <f ca="1">IF(NOT(ISERROR(MATCH(J10,_xlfn.ANCHORARRAY(E13),0))),#REF!&amp;"Por favor no seleccionar los criterios de impacto",J10)</f>
        <v>0</v>
      </c>
      <c r="L10" s="542"/>
      <c r="M10" s="543"/>
      <c r="N10" s="253"/>
      <c r="O10" s="1">
        <v>2</v>
      </c>
      <c r="P10" s="170"/>
      <c r="Q10" s="170"/>
      <c r="R10" s="1" t="str">
        <f>IF(OR(S10="Preventivo",S10="Detectivo"),"Probabilidad",IF(S10="Correctivo","Impacto",""))</f>
        <v/>
      </c>
      <c r="S10" s="82"/>
      <c r="T10" s="82"/>
      <c r="U10" s="171" t="str">
        <f t="shared" si="0"/>
        <v/>
      </c>
      <c r="V10" s="82"/>
      <c r="W10" s="82"/>
      <c r="X10" s="82"/>
      <c r="Y10" s="172" t="str">
        <f t="shared" ref="Y10:Y16" si="3">IFERROR(IF(R10="Probabilidad",(I10-(+I10*U10)),IF(R10="Impacto",I10,"")),"")</f>
        <v/>
      </c>
      <c r="Z10" s="169" t="str">
        <f>IFERROR(IF(Y10="","",IF(Y10&lt;=0.2,"Muy Baja",IF(Y10&lt;=0.4,"Baja",IF(Y10&lt;=0.6,"Media",IF(Y10&lt;=0.8,"Alta","Muy Alta"))))),"")</f>
        <v/>
      </c>
      <c r="AA10" s="171" t="str">
        <f t="shared" si="1"/>
        <v/>
      </c>
      <c r="AB10" s="169" t="str">
        <f>IFERROR(IF(AC10="","",IF(AC10&lt;=0.2,"Leve",IF(AC10&lt;=0.4,"Menor",IF(AC10&lt;=0.6,"Moderado",IF(AC10&lt;=0.8,"Mayor","Catastrófico"))))),"")</f>
        <v/>
      </c>
      <c r="AC10" s="171" t="str">
        <f t="shared" ref="AC10:AC16" si="4">IFERROR(IF(R10="Impacto",(M10-(+M10*U10)),IF(R10="Probabilidad",M10,"")),"")</f>
        <v/>
      </c>
      <c r="AD10" s="165" t="str">
        <f t="shared" si="2"/>
        <v/>
      </c>
      <c r="AE10" s="82"/>
      <c r="AH10" s="84"/>
      <c r="AI10" s="84"/>
      <c r="AJ10" s="81"/>
      <c r="AK10" s="82"/>
    </row>
    <row r="11" spans="1:37" ht="34.9" customHeight="1">
      <c r="A11" s="231">
        <v>2</v>
      </c>
      <c r="B11" s="374" t="s">
        <v>140</v>
      </c>
      <c r="C11" s="374" t="s">
        <v>492</v>
      </c>
      <c r="D11" s="374" t="s">
        <v>493</v>
      </c>
      <c r="E11" s="377" t="s">
        <v>494</v>
      </c>
      <c r="F11" s="374" t="s">
        <v>277</v>
      </c>
      <c r="G11" s="374" t="s">
        <v>57</v>
      </c>
      <c r="H11" s="542" t="str">
        <f>IF(G11="","",IF('Sec. Cultura y Turismo'!G11='[28]Tabla probabilidad'!$C$4,"MUY BAJA",IF('Sec. Cultura y Turismo'!G11='[28]Tabla probabilidad'!$C$5,"BAJA",IF('Sec. Cultura y Turismo'!G11='[28]Tabla probabilidad'!$C$6,"MEDIA",IF('Sec. Cultura y Turismo'!G11='[28]Tabla probabilidad'!$C$7,"ALTA",IF('Sec. Cultura y Turismo'!G11='[28]Tabla probabilidad'!$C$8,"MUY ALTA"))))))</f>
        <v>MEDIA</v>
      </c>
      <c r="I11" s="543">
        <f>IF(H11="","",IF(H11="Muy Baja",0.2,IF(H11="Baja",0.4,IF(H11="Media",0.6,IF(H11="Alta",0.8,IF(H11="Muy Alta",1,))))))</f>
        <v>0.6</v>
      </c>
      <c r="J11" s="381" t="s">
        <v>135</v>
      </c>
      <c r="K11" s="543" t="str">
        <f>IF(J11="","",IF(NOT(ISERROR(MATCH(J11,'[28]Tabla Impacto'!$B$37:$B$39,0))),'[28]Tabla Impacto'!$F$37&amp;"Por favor no seleccionar los criterios de impacto(Afectación Económica o presupuestal y Pérdida Reputacional)",J11))</f>
        <v xml:space="preserve">     Entre 10 y 50 SMLMV </v>
      </c>
      <c r="L11" s="542" t="str">
        <f>IF(OR(J11='[28]Tabla Impacto'!$F$25,J11='[28]Tabla Impacto'!$F$31),"Leve",IF(OR(J11='[28]Tabla Impacto'!$F$26,J11='[28]Tabla Impacto'!$F$32),"Menor",IF(OR(J11='[28]Tabla Impacto'!$F$27,J11='[28]Tabla Impacto'!$F$33,J11='[28]Tabla Impacto'!$F$37),"Moderado",IF(OR(J11='[28]Tabla Impacto'!$F$28,J11='[28]Tabla Impacto'!$F$34,J11='[28]Tabla Impacto'!$F$38),"Mayor",IF(OR(J11='[28]Tabla Impacto'!$F$29,J11='[28]Tabla Impacto'!$F$35,J11='[28]Tabla Impacto'!$F$39),"Catastrófico","")))))</f>
        <v>Menor</v>
      </c>
      <c r="M11" s="543">
        <f>IF(L11="","",IF(L11="Leve",0.2,IF(L11="Menor",0.4,IF(L11="Moderado",0.6,IF(L11="Mayor",0.8,IF(L11="Catastrófico",1,))))))</f>
        <v>0.4</v>
      </c>
      <c r="N11" s="25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
        <v>1</v>
      </c>
      <c r="P11" s="170" t="s">
        <v>495</v>
      </c>
      <c r="Q11" s="170" t="s">
        <v>496</v>
      </c>
      <c r="R11" s="1" t="str">
        <f t="shared" ref="R11:R16" si="5">IF(OR(S11="Preventivo",S11="Detectivo"),"Probabilidad",IF(S11="Correctivo","Impacto",""))</f>
        <v>Probabilidad</v>
      </c>
      <c r="S11" s="82" t="s">
        <v>69</v>
      </c>
      <c r="T11" s="82" t="s">
        <v>62</v>
      </c>
      <c r="U11" s="171" t="str">
        <f t="shared" si="0"/>
        <v>30%</v>
      </c>
      <c r="V11" s="82" t="s">
        <v>70</v>
      </c>
      <c r="W11" s="82" t="s">
        <v>64</v>
      </c>
      <c r="X11" s="82" t="s">
        <v>65</v>
      </c>
      <c r="Y11" s="172">
        <f t="shared" si="3"/>
        <v>0.42</v>
      </c>
      <c r="Z11" s="169" t="str">
        <f>IFERROR(IF(Y11="","",IF(Y11&lt;=0.2,"Muy Baja",IF(Y11&lt;=0.4,"Baja",IF(Y11&lt;=0.6,"Media",IF(Y11&lt;=0.8,"Alta","Muy Alta"))))),"")</f>
        <v>Media</v>
      </c>
      <c r="AA11" s="171">
        <f t="shared" si="1"/>
        <v>0.42</v>
      </c>
      <c r="AB11" s="169" t="str">
        <f>IFERROR(IF(AC11="","",IF(AC11&lt;=0.2,"Leve",IF(AC11&lt;=0.4,"Menor",IF(AC11&lt;=0.6,"Moderado",IF(AC11&lt;=0.8,"Mayor","Catastrófico"))))),"")</f>
        <v>Menor</v>
      </c>
      <c r="AC11" s="171">
        <f t="shared" si="4"/>
        <v>0.4</v>
      </c>
      <c r="AD11" s="165" t="str">
        <f t="shared" si="2"/>
        <v>Moderado</v>
      </c>
      <c r="AE11" s="81" t="s">
        <v>66</v>
      </c>
      <c r="AF11" s="81" t="s">
        <v>497</v>
      </c>
      <c r="AG11" s="81" t="s">
        <v>498</v>
      </c>
      <c r="AH11" s="84" t="s">
        <v>489</v>
      </c>
      <c r="AI11" s="84" t="s">
        <v>490</v>
      </c>
      <c r="AJ11" s="81" t="s">
        <v>491</v>
      </c>
      <c r="AK11" s="82" t="s">
        <v>226</v>
      </c>
    </row>
    <row r="12" spans="1:37" ht="46.9" customHeight="1">
      <c r="A12" s="231"/>
      <c r="B12" s="374"/>
      <c r="C12" s="374"/>
      <c r="D12" s="374"/>
      <c r="E12" s="377"/>
      <c r="F12" s="374"/>
      <c r="G12" s="374"/>
      <c r="H12" s="542"/>
      <c r="I12" s="543"/>
      <c r="J12" s="381"/>
      <c r="K12" s="543">
        <f ca="1">IF(NOT(ISERROR(MATCH(J12,_xlfn.ANCHORARRAY(E15),0))),#REF!&amp;"Por favor no seleccionar los criterios de impacto",J12)</f>
        <v>0</v>
      </c>
      <c r="L12" s="542"/>
      <c r="M12" s="543"/>
      <c r="N12" s="253"/>
      <c r="O12" s="1">
        <v>2</v>
      </c>
      <c r="P12" s="170"/>
      <c r="Q12" s="170"/>
      <c r="R12" s="1" t="str">
        <f t="shared" si="5"/>
        <v/>
      </c>
      <c r="S12" s="82"/>
      <c r="T12" s="82"/>
      <c r="U12" s="171" t="str">
        <f t="shared" si="0"/>
        <v/>
      </c>
      <c r="V12" s="82"/>
      <c r="W12" s="82"/>
      <c r="X12" s="82"/>
      <c r="Y12" s="172" t="str">
        <f t="shared" si="3"/>
        <v/>
      </c>
      <c r="Z12" s="169" t="str">
        <f t="shared" ref="Z12:Z16" si="6">IFERROR(IF(Y12="","",IF(Y12&lt;=0.2,"Muy Baja",IF(Y12&lt;=0.4,"Baja",IF(Y12&lt;=0.6,"Media",IF(Y12&lt;=0.8,"Alta","Muy Alta"))))),"")</f>
        <v/>
      </c>
      <c r="AA12" s="171" t="str">
        <f t="shared" si="1"/>
        <v/>
      </c>
      <c r="AB12" s="169" t="str">
        <f t="shared" ref="AB12:AB16" si="7">IFERROR(IF(AC12="","",IF(AC12&lt;=0.2,"Leve",IF(AC12&lt;=0.4,"Menor",IF(AC12&lt;=0.6,"Moderado",IF(AC12&lt;=0.8,"Mayor","Catastrófico"))))),"")</f>
        <v/>
      </c>
      <c r="AC12" s="171" t="str">
        <f t="shared" si="4"/>
        <v/>
      </c>
      <c r="AD12" s="165" t="str">
        <f t="shared" si="2"/>
        <v/>
      </c>
      <c r="AE12" s="82"/>
      <c r="AF12" s="81"/>
      <c r="AH12" s="84"/>
      <c r="AI12" s="84"/>
      <c r="AJ12" s="81"/>
      <c r="AK12" s="82"/>
    </row>
    <row r="13" spans="1:37" ht="52.15" customHeight="1">
      <c r="A13" s="231">
        <v>3</v>
      </c>
      <c r="B13" s="374" t="s">
        <v>71</v>
      </c>
      <c r="C13" s="374" t="s">
        <v>499</v>
      </c>
      <c r="D13" s="374" t="s">
        <v>500</v>
      </c>
      <c r="E13" s="377" t="s">
        <v>501</v>
      </c>
      <c r="F13" s="374" t="s">
        <v>56</v>
      </c>
      <c r="G13" s="374" t="s">
        <v>85</v>
      </c>
      <c r="H13" s="542" t="str">
        <f>IF(G13="","",IF('Sec. Cultura y Turismo'!G13='[28]Tabla probabilidad'!$C$4,"MUY BAJA",IF('Sec. Cultura y Turismo'!G13='[28]Tabla probabilidad'!$C$5,"BAJA",IF('Sec. Cultura y Turismo'!G13='[28]Tabla probabilidad'!$C$6,"MEDIA",IF('Sec. Cultura y Turismo'!G13='[28]Tabla probabilidad'!$C$7,"ALTA",IF('Sec. Cultura y Turismo'!G13='[28]Tabla probabilidad'!$C$8,"MUY ALTA"))))))</f>
        <v>BAJA</v>
      </c>
      <c r="I13" s="543">
        <f>IF(H13="","",IF(H13="Muy Baja",0.2,IF(H13="Baja",0.4,IF(H13="Media",0.6,IF(H13="Alta",0.8,IF(H13="Muy Alta",1,))))))</f>
        <v>0.4</v>
      </c>
      <c r="J13" s="381" t="s">
        <v>502</v>
      </c>
      <c r="K13" s="543" t="str">
        <f>IF(J13="","",IF(NOT(ISERROR(MATCH(J13,'[28]Tabla Impacto'!$B$37:$B$39,0))),'[28]Tabla Impacto'!$F$37&amp;"Por favor no seleccionar los criterios de impacto(Afectación Económica o presupuestal y Pérdida Reputacional)",J13))</f>
        <v xml:space="preserve">     Genera medianas consecuencias sobre la entidadPor favor no seleccionar los criterios de impacto(Afectación Económica o presupuestal y Pérdida Reputacional)</v>
      </c>
      <c r="L13" s="542" t="str">
        <f>IF(OR(J13='[28]Tabla Impacto'!$F$25,J13='[28]Tabla Impacto'!$F$31),"Leve",IF(OR(J13='[28]Tabla Impacto'!$F$26,J13='[28]Tabla Impacto'!$F$32),"Menor",IF(OR(J13='[28]Tabla Impacto'!$F$27,J13='[28]Tabla Impacto'!$F$33,J13='[28]Tabla Impacto'!$F$37),"Moderado",IF(OR(J13='[28]Tabla Impacto'!$F$28,J13='[28]Tabla Impacto'!$F$34,J13='[28]Tabla Impacto'!$F$38),"Mayor",IF(OR(J13='[28]Tabla Impacto'!$F$29,J13='[28]Tabla Impacto'!$F$35,J13='[28]Tabla Impacto'!$F$39),"Catastrófico","")))))</f>
        <v/>
      </c>
      <c r="M13" s="543" t="str">
        <f>IF(L13="","",IF(L13="Leve",0.2,IF(L13="Menor",0.4,IF(L13="Moderado",0.6,IF(L13="Mayor",0.8,IF(L13="Catastrófico",1,))))))</f>
        <v/>
      </c>
      <c r="N13" s="253"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
        <v>1</v>
      </c>
      <c r="P13" s="170" t="s">
        <v>503</v>
      </c>
      <c r="Q13" s="170" t="s">
        <v>504</v>
      </c>
      <c r="R13" s="1" t="str">
        <f t="shared" si="5"/>
        <v>Probabilidad</v>
      </c>
      <c r="S13" s="82" t="s">
        <v>61</v>
      </c>
      <c r="T13" s="82" t="s">
        <v>62</v>
      </c>
      <c r="U13" s="171" t="str">
        <f t="shared" si="0"/>
        <v>40%</v>
      </c>
      <c r="V13" s="82" t="s">
        <v>70</v>
      </c>
      <c r="W13" s="82" t="s">
        <v>64</v>
      </c>
      <c r="X13" s="82" t="s">
        <v>65</v>
      </c>
      <c r="Y13" s="172">
        <f t="shared" si="3"/>
        <v>0.24</v>
      </c>
      <c r="Z13" s="169" t="str">
        <f>IFERROR(IF(Y13="","",IF(Y13&lt;=0.2,"Muy Baja",IF(Y13&lt;=0.4,"Baja",IF(Y13&lt;=0.6,"Media",IF(Y13&lt;=0.8,"Alta","Muy Alta"))))),"")</f>
        <v>Baja</v>
      </c>
      <c r="AA13" s="171">
        <f t="shared" si="1"/>
        <v>0.24</v>
      </c>
      <c r="AB13" s="169" t="str">
        <f>IFERROR(IF(AC13="","",IF(AC13&lt;=0.2,"Leve",IF(AC13&lt;=0.4,"Menor",IF(AC13&lt;=0.6,"Moderado",IF(AC13&lt;=0.8,"Mayor","Catastrófico"))))),"")</f>
        <v/>
      </c>
      <c r="AC13" s="171" t="str">
        <f t="shared" si="4"/>
        <v/>
      </c>
      <c r="AD13" s="165" t="str">
        <f t="shared" si="2"/>
        <v/>
      </c>
      <c r="AE13" s="82" t="s">
        <v>220</v>
      </c>
      <c r="AF13" s="81" t="s">
        <v>505</v>
      </c>
      <c r="AG13" s="81" t="s">
        <v>506</v>
      </c>
      <c r="AH13" s="84" t="s">
        <v>489</v>
      </c>
      <c r="AI13" s="84" t="s">
        <v>490</v>
      </c>
      <c r="AJ13" s="81" t="s">
        <v>491</v>
      </c>
      <c r="AK13" s="82" t="s">
        <v>226</v>
      </c>
    </row>
    <row r="14" spans="1:37" ht="47.45" customHeight="1">
      <c r="A14" s="231"/>
      <c r="B14" s="374"/>
      <c r="C14" s="374"/>
      <c r="D14" s="374"/>
      <c r="E14" s="377"/>
      <c r="F14" s="374"/>
      <c r="G14" s="374"/>
      <c r="H14" s="542"/>
      <c r="I14" s="543"/>
      <c r="J14" s="381"/>
      <c r="K14" s="543">
        <f ca="1">IF(NOT(ISERROR(MATCH(J14,_xlfn.ANCHORARRAY(#REF!),0))),#REF!&amp;"Por favor no seleccionar los criterios de impacto",J14)</f>
        <v>0</v>
      </c>
      <c r="L14" s="542"/>
      <c r="M14" s="543"/>
      <c r="N14" s="253"/>
      <c r="O14" s="1">
        <v>2</v>
      </c>
      <c r="P14" s="170"/>
      <c r="Q14" s="170"/>
      <c r="R14" s="1"/>
      <c r="S14" s="82"/>
      <c r="T14" s="82"/>
      <c r="U14" s="171" t="str">
        <f t="shared" si="0"/>
        <v/>
      </c>
      <c r="V14" s="82"/>
      <c r="W14" s="82"/>
      <c r="X14" s="82"/>
      <c r="Y14" s="172" t="str">
        <f t="shared" si="3"/>
        <v/>
      </c>
      <c r="Z14" s="169" t="str">
        <f t="shared" si="6"/>
        <v/>
      </c>
      <c r="AA14" s="171" t="str">
        <f t="shared" si="1"/>
        <v/>
      </c>
      <c r="AB14" s="169" t="str">
        <f t="shared" si="7"/>
        <v/>
      </c>
      <c r="AC14" s="171" t="str">
        <f t="shared" si="4"/>
        <v/>
      </c>
      <c r="AD14" s="165" t="str">
        <f t="shared" si="2"/>
        <v/>
      </c>
      <c r="AE14" s="82"/>
      <c r="AF14" s="81" t="s">
        <v>507</v>
      </c>
      <c r="AG14" s="81" t="s">
        <v>506</v>
      </c>
      <c r="AH14" s="84" t="s">
        <v>489</v>
      </c>
      <c r="AI14" s="84" t="s">
        <v>490</v>
      </c>
      <c r="AJ14" s="81" t="s">
        <v>491</v>
      </c>
      <c r="AK14" s="82" t="s">
        <v>226</v>
      </c>
    </row>
    <row r="15" spans="1:37" ht="88.15" customHeight="1">
      <c r="A15" s="231">
        <v>4</v>
      </c>
      <c r="B15" s="374" t="s">
        <v>52</v>
      </c>
      <c r="C15" s="374" t="s">
        <v>508</v>
      </c>
      <c r="D15" s="374" t="s">
        <v>509</v>
      </c>
      <c r="E15" s="377" t="s">
        <v>510</v>
      </c>
      <c r="F15" s="374" t="s">
        <v>56</v>
      </c>
      <c r="G15" s="374" t="s">
        <v>85</v>
      </c>
      <c r="H15" s="542" t="str">
        <f>IF(G15="","",IF('Sec. Cultura y Turismo'!G15='[28]Tabla probabilidad'!$C$4,"MUY BAJA",IF('Sec. Cultura y Turismo'!G15='[28]Tabla probabilidad'!$C$5,"BAJA",IF('Sec. Cultura y Turismo'!G15='[28]Tabla probabilidad'!$C$6,"MEDIA",IF('Sec. Cultura y Turismo'!G15='[28]Tabla probabilidad'!$C$7,"ALTA",IF('Sec. Cultura y Turismo'!G15='[28]Tabla probabilidad'!$C$8,"MUY ALTA"))))))</f>
        <v>BAJA</v>
      </c>
      <c r="I15" s="543">
        <f>IF(H15="","",IF(H15="Muy Baja",0.2,IF(H15="Baja",0.4,IF(H15="Media",0.6,IF(H15="Alta",0.8,IF(H15="Muy Alta",1,))))))</f>
        <v>0.4</v>
      </c>
      <c r="J15" s="381" t="s">
        <v>502</v>
      </c>
      <c r="K15" s="543" t="str">
        <f>IF(J15="","",IF(NOT(ISERROR(MATCH(J15,'[28]Tabla Impacto'!$B$37:$B$39,0))),'[28]Tabla Impacto'!$F$37&amp;"Por favor no seleccionar los criterios de impacto(Afectación Económica o presupuestal y Pérdida Reputacional)",J15))</f>
        <v xml:space="preserve">     Genera medianas consecuencias sobre la entidadPor favor no seleccionar los criterios de impacto(Afectación Económica o presupuestal y Pérdida Reputacional)</v>
      </c>
      <c r="L15" s="542" t="str">
        <f>IF(OR(J15='[28]Tabla Impacto'!$F$25,J15='[28]Tabla Impacto'!$F$31),"Leve",IF(OR(J15='[28]Tabla Impacto'!$F$26,J15='[28]Tabla Impacto'!$F$32),"Menor",IF(OR(J15='[28]Tabla Impacto'!$F$27,J15='[28]Tabla Impacto'!$F$33,J15='[28]Tabla Impacto'!$F$37),"Moderado",IF(OR(J15='[28]Tabla Impacto'!$F$28,J15='[28]Tabla Impacto'!$F$34,J15='[28]Tabla Impacto'!$F$38),"Mayor",IF(OR(J15='[28]Tabla Impacto'!$F$29,J15='[28]Tabla Impacto'!$F$35,J15='[28]Tabla Impacto'!$F$39),"Catastrófico","")))))</f>
        <v/>
      </c>
      <c r="M15" s="543" t="str">
        <f>IF(L15="","",IF(L15="Leve",0.2,IF(L15="Menor",0.4,IF(L15="Moderado",0.6,IF(L15="Mayor",0.8,IF(L15="Catastrófico",1,))))))</f>
        <v/>
      </c>
      <c r="N15" s="253"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
        <v>1</v>
      </c>
      <c r="P15" s="173" t="s">
        <v>511</v>
      </c>
      <c r="Q15" s="173" t="s">
        <v>512</v>
      </c>
      <c r="R15" s="1" t="str">
        <f t="shared" si="5"/>
        <v>Probabilidad</v>
      </c>
      <c r="S15" s="82" t="s">
        <v>61</v>
      </c>
      <c r="T15" s="82" t="s">
        <v>62</v>
      </c>
      <c r="U15" s="171" t="str">
        <f t="shared" si="0"/>
        <v>40%</v>
      </c>
      <c r="V15" s="82" t="s">
        <v>70</v>
      </c>
      <c r="W15" s="82" t="s">
        <v>64</v>
      </c>
      <c r="X15" s="82" t="s">
        <v>65</v>
      </c>
      <c r="Y15" s="172">
        <f t="shared" si="3"/>
        <v>0.24</v>
      </c>
      <c r="Z15" s="169" t="str">
        <f>IFERROR(IF(Y15="","",IF(Y15&lt;=0.2,"Muy Baja",IF(Y15&lt;=0.4,"Baja",IF(Y15&lt;=0.6,"Media",IF(Y15&lt;=0.8,"Alta","Muy Alta"))))),"")</f>
        <v>Baja</v>
      </c>
      <c r="AA15" s="171">
        <f t="shared" si="1"/>
        <v>0.24</v>
      </c>
      <c r="AB15" s="169" t="str">
        <f>IFERROR(IF(AC15="","",IF(AC15&lt;=0.2,"Leve",IF(AC15&lt;=0.4,"Menor",IF(AC15&lt;=0.6,"Moderado",IF(AC15&lt;=0.8,"Mayor","Catastrófico"))))),"")</f>
        <v/>
      </c>
      <c r="AC15" s="171" t="str">
        <f t="shared" si="4"/>
        <v/>
      </c>
      <c r="AD15" s="165" t="str">
        <f t="shared" si="2"/>
        <v/>
      </c>
      <c r="AE15" s="82" t="s">
        <v>220</v>
      </c>
      <c r="AF15" s="81" t="s">
        <v>505</v>
      </c>
      <c r="AG15" s="82" t="s">
        <v>513</v>
      </c>
      <c r="AH15" s="84" t="s">
        <v>514</v>
      </c>
      <c r="AI15" s="84" t="s">
        <v>490</v>
      </c>
      <c r="AJ15" s="81" t="s">
        <v>491</v>
      </c>
      <c r="AK15" s="82" t="s">
        <v>226</v>
      </c>
    </row>
    <row r="16" spans="1:37" ht="80.45" customHeight="1">
      <c r="A16" s="231"/>
      <c r="B16" s="374"/>
      <c r="C16" s="374"/>
      <c r="D16" s="374"/>
      <c r="E16" s="377"/>
      <c r="F16" s="374"/>
      <c r="G16" s="374"/>
      <c r="H16" s="542"/>
      <c r="I16" s="543"/>
      <c r="J16" s="381"/>
      <c r="K16" s="543">
        <f ca="1">IF(NOT(ISERROR(MATCH(J16,_xlfn.ANCHORARRAY(#REF!),0))),#REF!&amp;"Por favor no seleccionar los criterios de impacto",J16)</f>
        <v>0</v>
      </c>
      <c r="L16" s="542"/>
      <c r="M16" s="543"/>
      <c r="N16" s="253"/>
      <c r="O16" s="1">
        <v>2</v>
      </c>
      <c r="P16" s="170"/>
      <c r="Q16" s="170"/>
      <c r="R16" s="1" t="str">
        <f t="shared" si="5"/>
        <v/>
      </c>
      <c r="S16" s="82"/>
      <c r="T16" s="82"/>
      <c r="U16" s="171" t="str">
        <f t="shared" si="0"/>
        <v/>
      </c>
      <c r="V16" s="82"/>
      <c r="W16" s="82"/>
      <c r="X16" s="82"/>
      <c r="Y16" s="172" t="str">
        <f t="shared" si="3"/>
        <v/>
      </c>
      <c r="Z16" s="169" t="str">
        <f t="shared" si="6"/>
        <v/>
      </c>
      <c r="AA16" s="171" t="str">
        <f t="shared" si="1"/>
        <v/>
      </c>
      <c r="AB16" s="169" t="str">
        <f t="shared" si="7"/>
        <v/>
      </c>
      <c r="AC16" s="171" t="str">
        <f t="shared" si="4"/>
        <v/>
      </c>
      <c r="AD16" s="165" t="str">
        <f t="shared" si="2"/>
        <v/>
      </c>
      <c r="AE16" s="82"/>
      <c r="AF16" s="81"/>
      <c r="AG16" s="82"/>
      <c r="AH16" s="84"/>
      <c r="AI16" s="84"/>
      <c r="AJ16" s="81"/>
      <c r="AK16" s="82"/>
    </row>
    <row r="17" spans="1:37" ht="41.25" customHeight="1">
      <c r="A17" s="539" t="s">
        <v>515</v>
      </c>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1"/>
    </row>
    <row r="18" spans="1:37" s="176" customFormat="1">
      <c r="A18" s="174"/>
      <c r="B18" s="175" t="s">
        <v>98</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sheetData>
  <dataConsolidate/>
  <mergeCells count="107">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A13:A14"/>
    <mergeCell ref="B13:B14"/>
    <mergeCell ref="C13:C14"/>
    <mergeCell ref="D13:D14"/>
    <mergeCell ref="E13:E14"/>
    <mergeCell ref="F13:F14"/>
    <mergeCell ref="G13:G14"/>
    <mergeCell ref="H13:H14"/>
    <mergeCell ref="G11:G12"/>
    <mergeCell ref="H11:H12"/>
    <mergeCell ref="A11:A12"/>
    <mergeCell ref="B11:B12"/>
    <mergeCell ref="C11:C12"/>
    <mergeCell ref="D11:D12"/>
    <mergeCell ref="E11:E12"/>
    <mergeCell ref="F11:F12"/>
    <mergeCell ref="I13:I14"/>
    <mergeCell ref="J13:J14"/>
    <mergeCell ref="K13:K14"/>
    <mergeCell ref="L13:L14"/>
    <mergeCell ref="M13:M14"/>
    <mergeCell ref="M15:M16"/>
    <mergeCell ref="N13:N14"/>
    <mergeCell ref="M11:M12"/>
    <mergeCell ref="N11:N12"/>
    <mergeCell ref="I11:I12"/>
    <mergeCell ref="J11:J12"/>
    <mergeCell ref="K11:K12"/>
    <mergeCell ref="L11:L12"/>
    <mergeCell ref="A17:AK17"/>
    <mergeCell ref="N15:N16"/>
    <mergeCell ref="G15:G16"/>
    <mergeCell ref="H15:H16"/>
    <mergeCell ref="I15:I16"/>
    <mergeCell ref="J15:J16"/>
    <mergeCell ref="K15:K16"/>
    <mergeCell ref="L15:L16"/>
    <mergeCell ref="A15:A16"/>
    <mergeCell ref="B15:B16"/>
    <mergeCell ref="C15:C16"/>
    <mergeCell ref="D15:D16"/>
    <mergeCell ref="E15:E16"/>
    <mergeCell ref="F15:F16"/>
  </mergeCells>
  <conditionalFormatting sqref="H9 H11 H13 H15">
    <cfRule type="cellIs" dxfId="86" priority="137" operator="equal">
      <formula>"Muy Alta"</formula>
    </cfRule>
    <cfRule type="cellIs" dxfId="85" priority="138" operator="equal">
      <formula>"Alta"</formula>
    </cfRule>
    <cfRule type="cellIs" dxfId="84" priority="139" operator="equal">
      <formula>"Media"</formula>
    </cfRule>
    <cfRule type="cellIs" dxfId="83" priority="140" operator="equal">
      <formula>"Baja"</formula>
    </cfRule>
    <cfRule type="cellIs" dxfId="82" priority="141" operator="equal">
      <formula>"Muy Baja"</formula>
    </cfRule>
  </conditionalFormatting>
  <conditionalFormatting sqref="K9:K16">
    <cfRule type="containsText" dxfId="81" priority="1" operator="containsText" text="❌">
      <formula>NOT(ISERROR(SEARCH("❌",K9)))</formula>
    </cfRule>
  </conditionalFormatting>
  <conditionalFormatting sqref="L9 L11 L13 L15">
    <cfRule type="cellIs" dxfId="80" priority="132" operator="equal">
      <formula>"Catastrófico"</formula>
    </cfRule>
    <cfRule type="cellIs" dxfId="79" priority="133" operator="equal">
      <formula>"Mayor"</formula>
    </cfRule>
    <cfRule type="cellIs" dxfId="78" priority="134" operator="equal">
      <formula>"Moderado"</formula>
    </cfRule>
    <cfRule type="cellIs" dxfId="77" priority="135" operator="equal">
      <formula>"Menor"</formula>
    </cfRule>
    <cfRule type="cellIs" dxfId="76" priority="136" operator="equal">
      <formula>"Leve"</formula>
    </cfRule>
  </conditionalFormatting>
  <conditionalFormatting sqref="N9 N11 N13 N15">
    <cfRule type="cellIs" dxfId="75" priority="128" operator="equal">
      <formula>"Extremo"</formula>
    </cfRule>
    <cfRule type="cellIs" dxfId="74" priority="129" operator="equal">
      <formula>"Alto"</formula>
    </cfRule>
    <cfRule type="cellIs" dxfId="73" priority="130" operator="equal">
      <formula>"Moderado"</formula>
    </cfRule>
    <cfRule type="cellIs" dxfId="72" priority="131" operator="equal">
      <formula>"Bajo"</formula>
    </cfRule>
  </conditionalFormatting>
  <conditionalFormatting sqref="Z9:Z16">
    <cfRule type="cellIs" dxfId="71" priority="11" operator="equal">
      <formula>"Muy Alta"</formula>
    </cfRule>
    <cfRule type="cellIs" dxfId="70" priority="12" operator="equal">
      <formula>"Alta"</formula>
    </cfRule>
    <cfRule type="cellIs" dxfId="69" priority="13" operator="equal">
      <formula>"Media"</formula>
    </cfRule>
    <cfRule type="cellIs" dxfId="68" priority="14" operator="equal">
      <formula>"Baja"</formula>
    </cfRule>
    <cfRule type="cellIs" dxfId="67" priority="15" operator="equal">
      <formula>"Muy Baja"</formula>
    </cfRule>
  </conditionalFormatting>
  <conditionalFormatting sqref="AB9:AB16">
    <cfRule type="cellIs" dxfId="66" priority="6" operator="equal">
      <formula>"Catastrófico"</formula>
    </cfRule>
    <cfRule type="cellIs" dxfId="65" priority="7" operator="equal">
      <formula>"Mayor"</formula>
    </cfRule>
    <cfRule type="cellIs" dxfId="64" priority="8" operator="equal">
      <formula>"Moderado"</formula>
    </cfRule>
    <cfRule type="cellIs" dxfId="63" priority="9" operator="equal">
      <formula>"Menor"</formula>
    </cfRule>
    <cfRule type="cellIs" dxfId="62" priority="10" operator="equal">
      <formula>"Leve"</formula>
    </cfRule>
  </conditionalFormatting>
  <conditionalFormatting sqref="AD9:AD16">
    <cfRule type="cellIs" dxfId="61" priority="2" operator="equal">
      <formula>"Extremo"</formula>
    </cfRule>
    <cfRule type="cellIs" dxfId="60" priority="3" operator="equal">
      <formula>"Alto"</formula>
    </cfRule>
    <cfRule type="cellIs" dxfId="59" priority="4" operator="equal">
      <formula>"Moderado"</formula>
    </cfRule>
    <cfRule type="cellIs" dxfId="58" priority="5" operator="equal">
      <formula>"Bajo"</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62D0-B3E4-4384-8029-5050CD6A0FED}">
  <dimension ref="A1:AK12"/>
  <sheetViews>
    <sheetView zoomScale="80" zoomScaleNormal="80" workbookViewId="0">
      <selection activeCell="O29" sqref="O29"/>
    </sheetView>
  </sheetViews>
  <sheetFormatPr baseColWidth="10" defaultRowHeight="15"/>
  <cols>
    <col min="5" max="5" width="43.28515625" customWidth="1"/>
    <col min="16" max="16" width="42.85546875"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c r="D5" s="255"/>
      <c r="E5" s="255"/>
      <c r="F5" s="255"/>
      <c r="G5" s="255"/>
      <c r="H5" s="256" t="s">
        <v>7</v>
      </c>
      <c r="I5" s="256"/>
      <c r="J5" s="255"/>
      <c r="K5" s="255"/>
      <c r="L5" s="255"/>
      <c r="M5" s="255"/>
      <c r="N5" s="255"/>
      <c r="O5" s="256" t="s">
        <v>9</v>
      </c>
      <c r="P5" s="256"/>
      <c r="Q5" s="418"/>
      <c r="R5" s="419"/>
      <c r="S5" s="419"/>
      <c r="T5" s="419"/>
      <c r="U5" s="419"/>
      <c r="V5" s="419"/>
      <c r="W5" s="419"/>
      <c r="X5" s="419"/>
      <c r="Y5" s="419"/>
      <c r="Z5" s="419"/>
      <c r="AA5" s="419"/>
      <c r="AB5" s="419"/>
      <c r="AC5" s="419"/>
      <c r="AD5" s="419"/>
      <c r="AE5" s="420"/>
      <c r="AF5" s="152" t="s">
        <v>11</v>
      </c>
      <c r="AG5" s="417"/>
      <c r="AH5" s="417"/>
      <c r="AI5" s="417"/>
      <c r="AJ5" s="417"/>
      <c r="AK5" s="41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76.5">
      <c r="A9" s="310">
        <v>1</v>
      </c>
      <c r="B9" s="232" t="s">
        <v>52</v>
      </c>
      <c r="C9" s="232" t="s">
        <v>604</v>
      </c>
      <c r="D9" s="232" t="s">
        <v>605</v>
      </c>
      <c r="E9" s="233" t="s">
        <v>606</v>
      </c>
      <c r="F9" s="232" t="s">
        <v>56</v>
      </c>
      <c r="G9" s="232" t="s">
        <v>57</v>
      </c>
      <c r="H9" s="226" t="str">
        <f>IF(G9="","",IF('[29]Mapa final'!G9='[29]Tabla probabilidad'!$C$4,"MUY BAJA",IF('[29]Mapa final'!G9='[29]Tabla probabilidad'!$C$5,"BAJA",IF('[29]Mapa final'!G9='[29]Tabla probabilidad'!$C$6,"MEDIA",IF('[29]Mapa final'!G9='[29]Tabla probabilidad'!$C$7,"ALTA",IF('[29]Mapa final'!G9='[29]Tabla probabilidad'!$C$8,"MUY ALTA"))))))</f>
        <v>MEDIA</v>
      </c>
      <c r="I9" s="225">
        <f>IF(H9="","",IF(H9="Muy Baja",0.2,IF(H9="Baja",0.4,IF(H9="Media",0.6,IF(H9="Alta",0.8,IF(H9="Muy Alta",1,))))))</f>
        <v>0.6</v>
      </c>
      <c r="J9" s="224" t="s">
        <v>316</v>
      </c>
      <c r="K9" s="225" t="str">
        <f>IF(J9="","",IF(NOT(ISERROR(MATCH(J9,'[29]Tabla Impacto'!$B$37:$B$39,0))),'[29]Tabla Impacto'!$F$37&amp;"Por favor no seleccionar los criterios de impacto(Afectación Económica o presupuestal y Pérdida Reputacional)",J9))</f>
        <v xml:space="preserve">     Genera altas consecuencias sobre la entidad</v>
      </c>
      <c r="L9" s="226" t="str">
        <f>IF(OR(J9='[29]Tabla Impacto'!$F$25,J9='[29]Tabla Impacto'!$F$31),"Leve",IF(OR(J9='[29]Tabla Impacto'!$F$26,J9='[29]Tabla Impacto'!$F$32),"Menor",IF(OR(J9='[29]Tabla Impacto'!$F$27,J9='[29]Tabla Impacto'!$F$33,J9='[29]Tabla Impacto'!$F$37),"Moderado",IF(OR(J9='[29]Tabla Impacto'!$F$28,J9='[29]Tabla Impacto'!$F$34,J9='[29]Tabla Impacto'!$F$38),"Mayor",IF(OR(J9='[29]Tabla Impacto'!$F$29,J9='[29]Tabla Impacto'!$F$35,J9='[29]Tabla Impacto'!$F$39),"Catastrófico","")))))</f>
        <v>Mayor</v>
      </c>
      <c r="M9" s="225">
        <f>IF(L9="","",IF(L9="Leve",0.2,IF(L9="Menor",0.4,IF(L9="Moderado",0.6,IF(L9="Mayor",0.8,IF(L9="Catastrófico",1,))))))</f>
        <v>0.8</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23">
        <v>1</v>
      </c>
      <c r="P9" s="24" t="s">
        <v>607</v>
      </c>
      <c r="Q9" s="24" t="s">
        <v>608</v>
      </c>
      <c r="R9" s="23" t="str">
        <f t="shared" ref="R9:R10"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123</v>
      </c>
      <c r="X9" s="12" t="s">
        <v>65</v>
      </c>
      <c r="Y9" s="26">
        <f>IFERROR(IF(R9="Probabilidad",(I9-(+I9*U9)),IF(R9="Impacto",I9,"")),"")</f>
        <v>0.36</v>
      </c>
      <c r="Z9" s="19" t="str">
        <f>IFERROR(IF(Y9="","",IF(Y9&lt;=0.2,"Muy Baja",IF(Y9&lt;=0.4,"Baja",IF(Y9&lt;=0.6,"Media",IF(Y9&lt;=0.8,"Alta","Muy Alta"))))),"")</f>
        <v>Baja</v>
      </c>
      <c r="AA9" s="25">
        <f>+Y9</f>
        <v>0.36</v>
      </c>
      <c r="AB9" s="19" t="str">
        <f>IFERROR(IF(AC9="","",IF(AC9&lt;=0.2,"Leve",IF(AC9&lt;=0.4,"Menor",IF(AC9&lt;=0.6,"Moderado",IF(AC9&lt;=0.8,"Mayor","Catastrófico"))))),"")</f>
        <v>Mayor</v>
      </c>
      <c r="AC9" s="25">
        <f>IFERROR(IF(R9="Impacto",(M9-(+M9*U9)),IF(R9="Probabilidad",M9,"")),"")</f>
        <v>0.8</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220</v>
      </c>
      <c r="AF9" s="299" t="s">
        <v>352</v>
      </c>
      <c r="AG9" s="299" t="s">
        <v>353</v>
      </c>
      <c r="AH9" s="301">
        <v>45381</v>
      </c>
      <c r="AI9" s="301">
        <v>45657</v>
      </c>
      <c r="AJ9" s="503" t="s">
        <v>354</v>
      </c>
      <c r="AK9" s="505" t="s">
        <v>226</v>
      </c>
    </row>
    <row r="10" spans="1:37" ht="89.25">
      <c r="A10" s="310"/>
      <c r="B10" s="232"/>
      <c r="C10" s="232"/>
      <c r="D10" s="232"/>
      <c r="E10" s="233"/>
      <c r="F10" s="232"/>
      <c r="G10" s="232"/>
      <c r="H10" s="226"/>
      <c r="I10" s="225"/>
      <c r="J10" s="224"/>
      <c r="K10" s="225">
        <f ca="1">IF(NOT(ISERROR(MATCH(J10,_xlfn.ANCHORARRAY(E13),0))),#REF!&amp;"Por favor no seleccionar los criterios de impacto",J10)</f>
        <v>0</v>
      </c>
      <c r="L10" s="226"/>
      <c r="M10" s="225"/>
      <c r="N10" s="227"/>
      <c r="O10" s="23">
        <v>2</v>
      </c>
      <c r="P10" s="24" t="s">
        <v>609</v>
      </c>
      <c r="Q10" s="24" t="s">
        <v>610</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70</v>
      </c>
      <c r="W10" s="12" t="s">
        <v>123</v>
      </c>
      <c r="X10" s="12" t="s">
        <v>65</v>
      </c>
      <c r="Y10" s="26">
        <f t="shared" ref="Y10" si="2">IFERROR(IF(R10="Probabilidad",(I10-(+I10*U10)),IF(R10="Impacto",I10,"")),"")</f>
        <v>0</v>
      </c>
      <c r="Z10" s="19" t="str">
        <f t="shared" ref="Z10" si="3">IFERROR(IF(Y10="","",IF(Y10&lt;=0.2,"Muy Baja",IF(Y10&lt;=0.4,"Baja",IF(Y10&lt;=0.6,"Media",IF(Y10&lt;=0.8,"Alta","Muy Alta"))))),"")</f>
        <v>Muy Baja</v>
      </c>
      <c r="AA10" s="25">
        <f t="shared" ref="AA10" si="4">+Y10</f>
        <v>0</v>
      </c>
      <c r="AB10" s="19" t="str">
        <f t="shared" ref="AB10" si="5">IFERROR(IF(AC10="","",IF(AC10&lt;=0.2,"Leve",IF(AC10&lt;=0.4,"Menor",IF(AC10&lt;=0.6,"Moderado",IF(AC10&lt;=0.8,"Mayor","Catastrófico"))))),"")</f>
        <v>Leve</v>
      </c>
      <c r="AC10" s="25">
        <f t="shared" ref="AC10" si="6">IFERROR(IF(R10="Impacto",(M10-(+M10*U10)),IF(R10="Probabilidad",M10,"")),"")</f>
        <v>0</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300"/>
      <c r="AG10" s="300"/>
      <c r="AH10" s="302"/>
      <c r="AI10" s="302"/>
      <c r="AJ10" s="504"/>
      <c r="AK10" s="506"/>
    </row>
    <row r="11" spans="1:37">
      <c r="A11" s="228" t="s">
        <v>97</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30"/>
    </row>
    <row r="12" spans="1:37">
      <c r="A12" s="28"/>
      <c r="B12" s="29" t="s">
        <v>98</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row>
  </sheetData>
  <mergeCells count="7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L7:L8"/>
    <mergeCell ref="A7:A8"/>
    <mergeCell ref="B7:B8"/>
    <mergeCell ref="C7:C8"/>
    <mergeCell ref="D7:D8"/>
    <mergeCell ref="E7:E8"/>
    <mergeCell ref="F7:F8"/>
    <mergeCell ref="G7:G8"/>
    <mergeCell ref="H7:H8"/>
    <mergeCell ref="I7:I8"/>
    <mergeCell ref="J7:J8"/>
    <mergeCell ref="K7:K8"/>
    <mergeCell ref="AC7:AC8"/>
    <mergeCell ref="M7:M8"/>
    <mergeCell ref="N7:N8"/>
    <mergeCell ref="O7:O8"/>
    <mergeCell ref="P7:P8"/>
    <mergeCell ref="Q7:Q8"/>
    <mergeCell ref="R7:R8"/>
    <mergeCell ref="S7:X7"/>
    <mergeCell ref="Y7:Y8"/>
    <mergeCell ref="Z7:Z8"/>
    <mergeCell ref="AA7:AA8"/>
    <mergeCell ref="AB7:AB8"/>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A11:AK11"/>
    <mergeCell ref="AF9:AF10"/>
    <mergeCell ref="AG9:AG10"/>
    <mergeCell ref="AH9:AH10"/>
    <mergeCell ref="AI9:AI10"/>
    <mergeCell ref="AJ9:AJ10"/>
    <mergeCell ref="AK9:AK10"/>
    <mergeCell ref="I9:I10"/>
    <mergeCell ref="J9:J10"/>
    <mergeCell ref="K9:K10"/>
    <mergeCell ref="L9:L10"/>
    <mergeCell ref="M9:M10"/>
    <mergeCell ref="N9:N10"/>
  </mergeCells>
  <conditionalFormatting sqref="H9">
    <cfRule type="cellIs" dxfId="57" priority="25" operator="equal">
      <formula>"Muy Alta"</formula>
    </cfRule>
    <cfRule type="cellIs" dxfId="56" priority="26" operator="equal">
      <formula>"Alta"</formula>
    </cfRule>
    <cfRule type="cellIs" dxfId="55" priority="27" operator="equal">
      <formula>"Media"</formula>
    </cfRule>
    <cfRule type="cellIs" dxfId="54" priority="28" operator="equal">
      <formula>"Baja"</formula>
    </cfRule>
    <cfRule type="cellIs" dxfId="53" priority="29" operator="equal">
      <formula>"Muy Baja"</formula>
    </cfRule>
  </conditionalFormatting>
  <conditionalFormatting sqref="K9:K10">
    <cfRule type="containsText" dxfId="52" priority="1" operator="containsText" text="❌">
      <formula>NOT(ISERROR(SEARCH("❌",K9)))</formula>
    </cfRule>
  </conditionalFormatting>
  <conditionalFormatting sqref="L9">
    <cfRule type="cellIs" dxfId="51" priority="20" operator="equal">
      <formula>"Catastrófico"</formula>
    </cfRule>
    <cfRule type="cellIs" dxfId="50" priority="21" operator="equal">
      <formula>"Mayor"</formula>
    </cfRule>
    <cfRule type="cellIs" dxfId="49" priority="22" operator="equal">
      <formula>"Moderado"</formula>
    </cfRule>
    <cfRule type="cellIs" dxfId="48" priority="23" operator="equal">
      <formula>"Menor"</formula>
    </cfRule>
    <cfRule type="cellIs" dxfId="47" priority="24" operator="equal">
      <formula>"Leve"</formula>
    </cfRule>
  </conditionalFormatting>
  <conditionalFormatting sqref="N9">
    <cfRule type="cellIs" dxfId="46" priority="16" operator="equal">
      <formula>"Extremo"</formula>
    </cfRule>
    <cfRule type="cellIs" dxfId="45" priority="17" operator="equal">
      <formula>"Alto"</formula>
    </cfRule>
    <cfRule type="cellIs" dxfId="44" priority="18" operator="equal">
      <formula>"Moderado"</formula>
    </cfRule>
    <cfRule type="cellIs" dxfId="43" priority="19" operator="equal">
      <formula>"Bajo"</formula>
    </cfRule>
  </conditionalFormatting>
  <conditionalFormatting sqref="Z9:Z10">
    <cfRule type="cellIs" dxfId="42" priority="11" operator="equal">
      <formula>"Muy Alta"</formula>
    </cfRule>
    <cfRule type="cellIs" dxfId="41" priority="12" operator="equal">
      <formula>"Alta"</formula>
    </cfRule>
    <cfRule type="cellIs" dxfId="40" priority="13" operator="equal">
      <formula>"Media"</formula>
    </cfRule>
    <cfRule type="cellIs" dxfId="39" priority="14" operator="equal">
      <formula>"Baja"</formula>
    </cfRule>
    <cfRule type="cellIs" dxfId="38" priority="15" operator="equal">
      <formula>"Muy Baja"</formula>
    </cfRule>
  </conditionalFormatting>
  <conditionalFormatting sqref="AB9:AB10">
    <cfRule type="cellIs" dxfId="37" priority="6" operator="equal">
      <formula>"Catastrófico"</formula>
    </cfRule>
    <cfRule type="cellIs" dxfId="36" priority="7" operator="equal">
      <formula>"Mayor"</formula>
    </cfRule>
    <cfRule type="cellIs" dxfId="35" priority="8" operator="equal">
      <formula>"Moderado"</formula>
    </cfRule>
    <cfRule type="cellIs" dxfId="34" priority="9" operator="equal">
      <formula>"Menor"</formula>
    </cfRule>
    <cfRule type="cellIs" dxfId="33" priority="10" operator="equal">
      <formula>"Leve"</formula>
    </cfRule>
  </conditionalFormatting>
  <conditionalFormatting sqref="AD9:AD10">
    <cfRule type="cellIs" dxfId="32" priority="2" operator="equal">
      <formula>"Extremo"</formula>
    </cfRule>
    <cfRule type="cellIs" dxfId="31" priority="3" operator="equal">
      <formula>"Alto"</formula>
    </cfRule>
    <cfRule type="cellIs" dxfId="30" priority="4" operator="equal">
      <formula>"Moderado"</formula>
    </cfRule>
    <cfRule type="cellIs" dxfId="29" priority="5" operator="equal">
      <formula>"Bajo"</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8E52-DE28-475B-9A49-FE0618C2ED13}">
  <sheetPr>
    <tabColor theme="4"/>
  </sheetPr>
  <dimension ref="A1:AK18"/>
  <sheetViews>
    <sheetView topLeftCell="C1" zoomScale="80" zoomScaleNormal="80" workbookViewId="0">
      <selection activeCell="Q11" sqref="Q11"/>
    </sheetView>
  </sheetViews>
  <sheetFormatPr baseColWidth="10" defaultRowHeight="15"/>
  <cols>
    <col min="5" max="5" width="43.28515625" customWidth="1"/>
    <col min="16" max="16" width="42.85546875"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c r="D5" s="255"/>
      <c r="E5" s="255"/>
      <c r="F5" s="255"/>
      <c r="G5" s="255"/>
      <c r="H5" s="256" t="s">
        <v>7</v>
      </c>
      <c r="I5" s="256"/>
      <c r="J5" s="255"/>
      <c r="K5" s="255"/>
      <c r="L5" s="255"/>
      <c r="M5" s="255"/>
      <c r="N5" s="255"/>
      <c r="O5" s="256" t="s">
        <v>9</v>
      </c>
      <c r="P5" s="256"/>
      <c r="Q5" s="418"/>
      <c r="R5" s="419"/>
      <c r="S5" s="419"/>
      <c r="T5" s="419"/>
      <c r="U5" s="419"/>
      <c r="V5" s="419"/>
      <c r="W5" s="419"/>
      <c r="X5" s="419"/>
      <c r="Y5" s="419"/>
      <c r="Z5" s="419"/>
      <c r="AA5" s="419"/>
      <c r="AB5" s="419"/>
      <c r="AC5" s="419"/>
      <c r="AD5" s="419"/>
      <c r="AE5" s="420"/>
      <c r="AF5" s="152" t="s">
        <v>11</v>
      </c>
      <c r="AG5" s="417"/>
      <c r="AH5" s="417"/>
      <c r="AI5" s="417"/>
      <c r="AJ5" s="417"/>
      <c r="AK5" s="41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76.5" customHeight="1">
      <c r="A9" s="231">
        <v>1</v>
      </c>
      <c r="B9" s="548" t="s">
        <v>52</v>
      </c>
      <c r="C9" s="548" t="s">
        <v>611</v>
      </c>
      <c r="D9" s="548" t="s">
        <v>612</v>
      </c>
      <c r="E9" s="549" t="s">
        <v>613</v>
      </c>
      <c r="F9" s="548" t="s">
        <v>75</v>
      </c>
      <c r="G9" s="232" t="s">
        <v>57</v>
      </c>
      <c r="H9" s="226" t="str">
        <f>IF(G9="","",IF('[30]Mapa final'!G9='[30]Tabla probabilidad'!$C$4,"MUY BAJA",IF('[30]Mapa final'!G9='[30]Tabla probabilidad'!$C$5,"BAJA",IF('[30]Mapa final'!G9='[30]Tabla probabilidad'!$C$6,"MEDIA",IF('[30]Mapa final'!G9='[30]Tabla probabilidad'!$C$7,"ALTA",IF('[30]Mapa final'!G9='[30]Tabla probabilidad'!$C$8,"MUY ALTA"))))))</f>
        <v>MEDIA</v>
      </c>
      <c r="I9" s="225">
        <f>IF(H9="","",IF(H9="Muy Baja",0.2,IF(H9="Baja",0.4,IF(H9="Media",0.6,IF(H9="Alta",0.8,IF(H9="Muy Alta",1,))))))</f>
        <v>0.6</v>
      </c>
      <c r="J9" s="224" t="s">
        <v>614</v>
      </c>
      <c r="K9" s="225" t="str">
        <f>IF(J9="","",IF(NOT(ISERROR(MATCH(J9,'[30]Tabla Impacto'!$B$37:$B$39,0))),'[30]Tabla Impacto'!$F$37&amp;"Por favor no seleccionar los criterios de impacto(Afectación Económica o presupuestal y Pérdida Reputacional)",J9))</f>
        <v xml:space="preserve">     El riesgo afecta la imagen de la entidad a nivel nacional, con efecto publicitarios sostenible a nivel país</v>
      </c>
      <c r="L9" s="226" t="str">
        <f>IF(OR(J9='[30]Tabla Impacto'!$F$25,J9='[30]Tabla Impacto'!$F$31),"Leve",IF(OR(J9='[30]Tabla Impacto'!$F$26,J9='[30]Tabla Impacto'!$F$32),"Menor",IF(OR(J9='[30]Tabla Impacto'!$F$27,J9='[30]Tabla Impacto'!$F$33,J9='[30]Tabla Impacto'!$F$37),"Moderado",IF(OR(J9='[30]Tabla Impacto'!$F$28,J9='[30]Tabla Impacto'!$F$34,J9='[30]Tabla Impacto'!$F$38),"Mayor",IF(OR(J9='[30]Tabla Impacto'!$F$29,J9='[30]Tabla Impacto'!$F$35,J9='[30]Tabla Impacto'!$F$39),"Catastrófico","")))))</f>
        <v>Catastrófico</v>
      </c>
      <c r="M9" s="225">
        <f>IF(L9="","",IF(L9="Leve",0.2,IF(L9="Menor",0.4,IF(L9="Moderado",0.6,IF(L9="Mayor",0.8,IF(L9="Catastrófico",1,))))))</f>
        <v>1</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23">
        <v>1</v>
      </c>
      <c r="P9" s="223" t="s">
        <v>615</v>
      </c>
      <c r="Q9" s="223" t="s">
        <v>616</v>
      </c>
      <c r="R9" s="23" t="str">
        <f t="shared" ref="R9:R16"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0.36</v>
      </c>
      <c r="Z9" s="19" t="str">
        <f>IFERROR(IF(Y9="","",IF(Y9&lt;=0.2,"Muy Baja",IF(Y9&lt;=0.4,"Baja",IF(Y9&lt;=0.6,"Media",IF(Y9&lt;=0.8,"Alta","Muy Alta"))))),"")</f>
        <v>Baja</v>
      </c>
      <c r="AA9" s="25">
        <f>+Y9</f>
        <v>0.36</v>
      </c>
      <c r="AB9" s="19" t="str">
        <f>IFERROR(IF(AC9="","",IF(AC9&lt;=0.2,"Leve",IF(AC9&lt;=0.4,"Menor",IF(AC9&lt;=0.6,"Moderado",IF(AC9&lt;=0.8,"Mayor","Catastrófico"))))),"")</f>
        <v>Catastrófico</v>
      </c>
      <c r="AC9" s="25">
        <f>IFERROR(IF(R9="Impacto",(M9-(+M9*U9)),IF(R9="Probabilidad",M9,"")),"")</f>
        <v>1</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2" t="s">
        <v>220</v>
      </c>
      <c r="AF9" s="299" t="s">
        <v>352</v>
      </c>
      <c r="AG9" s="299" t="s">
        <v>353</v>
      </c>
      <c r="AH9" s="301">
        <v>45381</v>
      </c>
      <c r="AI9" s="301">
        <v>45657</v>
      </c>
      <c r="AJ9" s="503" t="s">
        <v>354</v>
      </c>
      <c r="AK9" s="505" t="s">
        <v>226</v>
      </c>
    </row>
    <row r="10" spans="1:37" ht="15" customHeight="1">
      <c r="A10" s="231"/>
      <c r="B10" s="548"/>
      <c r="C10" s="548"/>
      <c r="D10" s="548"/>
      <c r="E10" s="549"/>
      <c r="F10" s="548"/>
      <c r="G10" s="232"/>
      <c r="H10" s="226"/>
      <c r="I10" s="225"/>
      <c r="J10" s="224"/>
      <c r="K10" s="225">
        <f ca="1">IF(NOT(ISERROR(MATCH(J10,_xlfn.ANCHORARRAY(E13),0))),#REF!&amp;"Por favor no seleccionar los criterios de impacto",J10)</f>
        <v>0</v>
      </c>
      <c r="L10" s="226"/>
      <c r="M10" s="225"/>
      <c r="N10" s="227"/>
      <c r="O10" s="23">
        <v>2</v>
      </c>
      <c r="P10" s="223"/>
      <c r="Q10" s="223"/>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16"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16"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550"/>
      <c r="AG10" s="550"/>
      <c r="AH10" s="551"/>
      <c r="AI10" s="551"/>
      <c r="AJ10" s="552"/>
      <c r="AK10" s="553"/>
    </row>
    <row r="11" spans="1:37" ht="46.5" customHeight="1">
      <c r="A11" s="231">
        <v>2</v>
      </c>
      <c r="B11" s="548" t="s">
        <v>71</v>
      </c>
      <c r="C11" s="548" t="s">
        <v>617</v>
      </c>
      <c r="D11" s="548" t="s">
        <v>618</v>
      </c>
      <c r="E11" s="549" t="s">
        <v>619</v>
      </c>
      <c r="F11" s="548" t="s">
        <v>75</v>
      </c>
      <c r="G11" s="232" t="s">
        <v>57</v>
      </c>
      <c r="H11" s="226" t="str">
        <f>IF(G11="","",IF('[30]Mapa final'!G11='[30]Tabla probabilidad'!$C$4,"MUY BAJA",IF('[30]Mapa final'!G11='[30]Tabla probabilidad'!$C$5,"BAJA",IF('[30]Mapa final'!G11='[30]Tabla probabilidad'!$C$6,"MEDIA",IF('[30]Mapa final'!G11='[30]Tabla probabilidad'!$C$7,"ALTA",IF('[30]Mapa final'!G11='[30]Tabla probabilidad'!$C$8,"MUY ALTA"))))))</f>
        <v>MEDIA</v>
      </c>
      <c r="I11" s="225">
        <f t="shared" ref="I11" si="8">IF(H11="","",IF(H11="Muy Baja",0.2,IF(H11="Baja",0.4,IF(H11="Media",0.6,IF(H11="Alta",0.8,IF(H11="Muy Alta",1,))))))</f>
        <v>0.6</v>
      </c>
      <c r="J11" s="224" t="s">
        <v>77</v>
      </c>
      <c r="K11" s="225" t="str">
        <f>IF(J11="","",IF(NOT(ISERROR(MATCH(J11,'[30]Tabla Impacto'!$B$37:$B$39,0))),'[30]Tabla Impacto'!$F$37&amp;"Por favor no seleccionar los criterios de impacto(Afectación Económica o presupuestal y Pérdida Reputacional)",J11))</f>
        <v xml:space="preserve">     El riesgo afecta la imagen de la entidad con algunos usuarios de relevancia frente al logro de los objetivos</v>
      </c>
      <c r="L11" s="226" t="str">
        <f>IF(OR(J11='[30]Tabla Impacto'!$F$25,J11='[30]Tabla Impacto'!$F$31),"Leve",IF(OR(J11='[30]Tabla Impacto'!$F$26,J11='[30]Tabla Impacto'!$F$32),"Menor",IF(OR(J11='[30]Tabla Impacto'!$F$27,J11='[30]Tabla Impacto'!$F$33,J11='[30]Tabla Impacto'!$F$37),"Moderado",IF(OR(J11='[30]Tabla Impacto'!$F$28,J11='[30]Tabla Impacto'!$F$34,J11='[30]Tabla Impacto'!$F$38),"Mayor",IF(OR(J11='[30]Tabla Impacto'!$F$29,J11='[30]Tabla Impacto'!$F$35,J11='[30]Tabla Impacto'!$F$39),"Catastrófico","")))))</f>
        <v>Moderado</v>
      </c>
      <c r="M11" s="225">
        <f t="shared" ref="M11" si="9">IF(L11="","",IF(L11="Leve",0.2,IF(L11="Menor",0.4,IF(L11="Moderado",0.6,IF(L11="Mayor",0.8,IF(L11="Catastrófico",1,))))))</f>
        <v>0.6</v>
      </c>
      <c r="N11" s="227"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23" t="s">
        <v>620</v>
      </c>
      <c r="Q11" s="223" t="s">
        <v>321</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123</v>
      </c>
      <c r="X11" s="12" t="s">
        <v>228</v>
      </c>
      <c r="Y11" s="26">
        <f t="shared" si="2"/>
        <v>0.36</v>
      </c>
      <c r="Z11" s="19" t="str">
        <f>IFERROR(IF(Y11="","",IF(Y11&lt;=0.2,"Muy Baja",IF(Y11&lt;=0.4,"Baja",IF(Y11&lt;=0.6,"Media",IF(Y11&lt;=0.8,"Alta","Muy Alta"))))),"")</f>
        <v>Baja</v>
      </c>
      <c r="AA11" s="25">
        <f>+Y11</f>
        <v>0.36</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220</v>
      </c>
      <c r="AF11" s="550"/>
      <c r="AG11" s="550"/>
      <c r="AH11" s="551"/>
      <c r="AI11" s="551"/>
      <c r="AJ11" s="552"/>
      <c r="AK11" s="553"/>
    </row>
    <row r="12" spans="1:37" ht="39.75" customHeight="1">
      <c r="A12" s="231"/>
      <c r="B12" s="548"/>
      <c r="C12" s="548"/>
      <c r="D12" s="548"/>
      <c r="E12" s="549"/>
      <c r="F12" s="548"/>
      <c r="G12" s="232"/>
      <c r="H12" s="226"/>
      <c r="I12" s="225"/>
      <c r="J12" s="224"/>
      <c r="K12" s="225">
        <f ca="1">IF(NOT(ISERROR(MATCH(J12,_xlfn.ANCHORARRAY(E15),0))),#REF!&amp;"Por favor no seleccionar los criterios de impacto",J12)</f>
        <v>0</v>
      </c>
      <c r="L12" s="226"/>
      <c r="M12" s="225"/>
      <c r="N12" s="227"/>
      <c r="O12" s="23">
        <v>2</v>
      </c>
      <c r="P12" s="223" t="s">
        <v>621</v>
      </c>
      <c r="Q12" s="223" t="s">
        <v>321</v>
      </c>
      <c r="R12" s="23" t="str">
        <f t="shared" si="0"/>
        <v>Probabilidad</v>
      </c>
      <c r="S12" s="12" t="s">
        <v>61</v>
      </c>
      <c r="T12" s="12" t="s">
        <v>62</v>
      </c>
      <c r="U12" s="25" t="str">
        <f t="shared" ref="U12" si="11">IF(AND(S12="Preventivo",T12="Automático"),"50%",IF(AND(S12="Preventivo",T12="Manual"),"40%",IF(AND(S12="Detectivo",T12="Automático"),"40%",IF(AND(S12="Detectivo",T12="Manual"),"30%",IF(AND(S12="Correctivo",T12="Automático"),"35%",IF(AND(S12="Correctivo",T12="Manual"),"25%",""))))))</f>
        <v>40%</v>
      </c>
      <c r="V12" s="12" t="s">
        <v>63</v>
      </c>
      <c r="W12" s="12" t="s">
        <v>123</v>
      </c>
      <c r="X12" s="12" t="s">
        <v>228</v>
      </c>
      <c r="Y12" s="26">
        <f t="shared" si="2"/>
        <v>0</v>
      </c>
      <c r="Z12" s="19" t="str">
        <f t="shared" ref="Z12:Z16" si="12">IFERROR(IF(Y12="","",IF(Y12&lt;=0.2,"Muy Baja",IF(Y12&lt;=0.4,"Baja",IF(Y12&lt;=0.6,"Media",IF(Y12&lt;=0.8,"Alta","Muy Alta"))))),"")</f>
        <v>Muy Baja</v>
      </c>
      <c r="AA12" s="25">
        <f t="shared" ref="AA12" si="13">+Y12</f>
        <v>0</v>
      </c>
      <c r="AB12" s="19" t="str">
        <f t="shared" ref="AB12:AB16"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220</v>
      </c>
      <c r="AF12" s="550"/>
      <c r="AG12" s="550"/>
      <c r="AH12" s="551"/>
      <c r="AI12" s="551"/>
      <c r="AJ12" s="552"/>
      <c r="AK12" s="553"/>
    </row>
    <row r="13" spans="1:37" ht="40.5" customHeight="1">
      <c r="A13" s="231">
        <v>3</v>
      </c>
      <c r="B13" s="548" t="s">
        <v>71</v>
      </c>
      <c r="C13" s="548" t="s">
        <v>622</v>
      </c>
      <c r="D13" s="548" t="s">
        <v>623</v>
      </c>
      <c r="E13" s="549" t="s">
        <v>624</v>
      </c>
      <c r="F13" s="548" t="s">
        <v>75</v>
      </c>
      <c r="G13" s="232" t="s">
        <v>76</v>
      </c>
      <c r="H13" s="226" t="str">
        <f>IF(G13="","",IF('[30]Mapa final'!G13='[30]Tabla probabilidad'!$C$4,"MUY BAJA",IF('[30]Mapa final'!G13='[30]Tabla probabilidad'!$C$5,"BAJA",IF('[30]Mapa final'!G13='[30]Tabla probabilidad'!$C$6,"MEDIA",IF('[30]Mapa final'!G13='[30]Tabla probabilidad'!$C$7,"ALTA",IF('[30]Mapa final'!G13='[30]Tabla probabilidad'!$C$8,"MUY ALTA"))))))</f>
        <v>ALTA</v>
      </c>
      <c r="I13" s="225">
        <f t="shared" ref="I13" si="16">IF(H13="","",IF(H13="Muy Baja",0.2,IF(H13="Baja",0.4,IF(H13="Media",0.6,IF(H13="Alta",0.8,IF(H13="Muy Alta",1,))))))</f>
        <v>0.8</v>
      </c>
      <c r="J13" s="224" t="s">
        <v>398</v>
      </c>
      <c r="K13" s="225" t="str">
        <f>IF(J13="","",IF(NOT(ISERROR(MATCH(J13,'[30]Tabla Impacto'!$B$37:$B$39,0))),'[30]Tabla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226" t="str">
        <f>IF(OR(J13='[30]Tabla Impacto'!$F$25,J13='[30]Tabla Impacto'!$F$31),"Leve",IF(OR(J13='[30]Tabla Impacto'!$F$26,J13='[30]Tabla Impacto'!$F$32),"Menor",IF(OR(J13='[30]Tabla Impacto'!$F$27,J13='[30]Tabla Impacto'!$F$33,J13='[30]Tabla Impacto'!$F$37),"Moderado",IF(OR(J13='[30]Tabla Impacto'!$F$28,J13='[30]Tabla Impacto'!$F$34,J13='[30]Tabla Impacto'!$F$38),"Mayor",IF(OR(J13='[30]Tabla Impacto'!$F$29,J13='[30]Tabla Impacto'!$F$35,J13='[30]Tabla Impacto'!$F$39),"Catastrófico","")))))</f>
        <v>Menor</v>
      </c>
      <c r="M13" s="225">
        <f t="shared" ref="M13" si="17">IF(L13="","",IF(L13="Leve",0.2,IF(L13="Menor",0.4,IF(L13="Moderado",0.6,IF(L13="Mayor",0.8,IF(L13="Catastrófico",1,))))))</f>
        <v>0.4</v>
      </c>
      <c r="N13" s="227"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23" t="s">
        <v>625</v>
      </c>
      <c r="Q13" s="223" t="s">
        <v>321</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63</v>
      </c>
      <c r="W13" s="12" t="s">
        <v>123</v>
      </c>
      <c r="X13" s="12" t="s">
        <v>228</v>
      </c>
      <c r="Y13" s="26">
        <f t="shared" si="2"/>
        <v>0.48</v>
      </c>
      <c r="Z13" s="19" t="str">
        <f>IFERROR(IF(Y13="","",IF(Y13&lt;=0.2,"Muy Baja",IF(Y13&lt;=0.4,"Baja",IF(Y13&lt;=0.6,"Media",IF(Y13&lt;=0.8,"Alta","Muy Alta"))))),"")</f>
        <v>Media</v>
      </c>
      <c r="AA13" s="25">
        <f>+Y13</f>
        <v>0.48</v>
      </c>
      <c r="AB13" s="19" t="str">
        <f>IFERROR(IF(AC13="","",IF(AC13&lt;=0.2,"Leve",IF(AC13&lt;=0.4,"Menor",IF(AC13&lt;=0.6,"Moderado",IF(AC13&lt;=0.8,"Mayor","Catastrófico"))))),"")</f>
        <v>Menor</v>
      </c>
      <c r="AC13" s="25">
        <f t="shared" si="6"/>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550"/>
      <c r="AG13" s="550"/>
      <c r="AH13" s="551"/>
      <c r="AI13" s="551"/>
      <c r="AJ13" s="552"/>
      <c r="AK13" s="553"/>
    </row>
    <row r="14" spans="1:37" ht="42" customHeight="1">
      <c r="A14" s="231"/>
      <c r="B14" s="548"/>
      <c r="C14" s="548"/>
      <c r="D14" s="548"/>
      <c r="E14" s="549"/>
      <c r="F14" s="548"/>
      <c r="G14" s="232"/>
      <c r="H14" s="226"/>
      <c r="I14" s="225"/>
      <c r="J14" s="224"/>
      <c r="K14" s="225">
        <f ca="1">IF(NOT(ISERROR(MATCH(J14,_xlfn.ANCHORARRAY(E17),0))),#REF!&amp;"Por favor no seleccionar los criterios de impacto",J14)</f>
        <v>0</v>
      </c>
      <c r="L14" s="226"/>
      <c r="M14" s="225"/>
      <c r="N14" s="227"/>
      <c r="O14" s="23">
        <v>2</v>
      </c>
      <c r="P14" s="223" t="s">
        <v>626</v>
      </c>
      <c r="Q14" s="223" t="s">
        <v>323</v>
      </c>
      <c r="R14" s="23"/>
      <c r="S14" s="12" t="s">
        <v>61</v>
      </c>
      <c r="T14" s="12" t="s">
        <v>62</v>
      </c>
      <c r="U14" s="25" t="str">
        <f t="shared" ref="U14" si="19">IF(AND(S14="Preventivo",T14="Automático"),"50%",IF(AND(S14="Preventivo",T14="Manual"),"40%",IF(AND(S14="Detectivo",T14="Automático"),"40%",IF(AND(S14="Detectivo",T14="Manual"),"30%",IF(AND(S14="Correctivo",T14="Automático"),"35%",IF(AND(S14="Correctivo",T14="Manual"),"25%",""))))))</f>
        <v>40%</v>
      </c>
      <c r="V14" s="12" t="s">
        <v>63</v>
      </c>
      <c r="W14" s="12" t="s">
        <v>123</v>
      </c>
      <c r="X14" s="12" t="s">
        <v>228</v>
      </c>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t="s">
        <v>220</v>
      </c>
      <c r="AF14" s="550"/>
      <c r="AG14" s="550"/>
      <c r="AH14" s="551"/>
      <c r="AI14" s="551"/>
      <c r="AJ14" s="552"/>
      <c r="AK14" s="553"/>
    </row>
    <row r="15" spans="1:37" ht="39.75" customHeight="1">
      <c r="A15" s="231">
        <v>4</v>
      </c>
      <c r="B15" s="548" t="s">
        <v>71</v>
      </c>
      <c r="C15" s="548" t="s">
        <v>627</v>
      </c>
      <c r="D15" s="548" t="s">
        <v>628</v>
      </c>
      <c r="E15" s="549" t="s">
        <v>629</v>
      </c>
      <c r="F15" s="548" t="s">
        <v>75</v>
      </c>
      <c r="G15" s="232" t="s">
        <v>76</v>
      </c>
      <c r="H15" s="226" t="str">
        <f>IF(G15="","",IF('[30]Mapa final'!G15='[30]Tabla probabilidad'!$C$4,"MUY BAJA",IF('[30]Mapa final'!G15='[30]Tabla probabilidad'!$C$5,"BAJA",IF('[30]Mapa final'!G15='[30]Tabla probabilidad'!$C$6,"MEDIA",IF('[30]Mapa final'!G15='[30]Tabla probabilidad'!$C$7,"ALTA",IF('[30]Mapa final'!G15='[30]Tabla probabilidad'!$C$8,"MUY ALTA"))))))</f>
        <v>ALTA</v>
      </c>
      <c r="I15" s="225">
        <f t="shared" ref="I15" si="22">IF(H15="","",IF(H15="Muy Baja",0.2,IF(H15="Baja",0.4,IF(H15="Media",0.6,IF(H15="Alta",0.8,IF(H15="Muy Alta",1,))))))</f>
        <v>0.8</v>
      </c>
      <c r="J15" s="224" t="s">
        <v>58</v>
      </c>
      <c r="K15" s="225" t="str">
        <f>IF(J15="","",IF(NOT(ISERROR(MATCH(J15,'[30]Tabla Impacto'!$B$37:$B$39,0))),'[30]Tabla Impacto'!$F$37&amp;"Por favor no seleccionar los criterios de impacto(Afectación Económica o presupuestal y Pérdida Reputacional)",J15))</f>
        <v xml:space="preserve">     El riesgo afecta la imagen de de la entidad con efecto publicitario sostenido a nivel de sector administrativo, nivel departamental o municipal</v>
      </c>
      <c r="L15" s="226" t="str">
        <f>IF(OR(J15='[30]Tabla Impacto'!$F$25,J15='[30]Tabla Impacto'!$F$31),"Leve",IF(OR(J15='[30]Tabla Impacto'!$F$26,J15='[30]Tabla Impacto'!$F$32),"Menor",IF(OR(J15='[30]Tabla Impacto'!$F$27,J15='[30]Tabla Impacto'!$F$33,J15='[30]Tabla Impacto'!$F$37),"Moderado",IF(OR(J15='[30]Tabla Impacto'!$F$28,J15='[30]Tabla Impacto'!$F$34,J15='[30]Tabla Impacto'!$F$38),"Mayor",IF(OR(J15='[30]Tabla Impacto'!$F$29,J15='[30]Tabla Impacto'!$F$35,J15='[30]Tabla Impacto'!$F$39),"Catastrófico","")))))</f>
        <v>Mayor</v>
      </c>
      <c r="M15" s="225">
        <f t="shared" ref="M15" si="23">IF(L15="","",IF(L15="Leve",0.2,IF(L15="Menor",0.4,IF(L15="Moderado",0.6,IF(L15="Mayor",0.8,IF(L15="Catastrófico",1,))))))</f>
        <v>0.8</v>
      </c>
      <c r="N15" s="227"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23">
        <v>1</v>
      </c>
      <c r="P15" s="223" t="s">
        <v>630</v>
      </c>
      <c r="Q15" s="223" t="s">
        <v>321</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63</v>
      </c>
      <c r="W15" s="12" t="s">
        <v>123</v>
      </c>
      <c r="X15" s="12" t="s">
        <v>228</v>
      </c>
      <c r="Y15" s="26">
        <f t="shared" si="2"/>
        <v>0.48</v>
      </c>
      <c r="Z15" s="19" t="str">
        <f>IFERROR(IF(Y15="","",IF(Y15&lt;=0.2,"Muy Baja",IF(Y15&lt;=0.4,"Baja",IF(Y15&lt;=0.6,"Media",IF(Y15&lt;=0.8,"Alta","Muy Alta"))))),"")</f>
        <v>Media</v>
      </c>
      <c r="AA15" s="25">
        <f>+Y15</f>
        <v>0.48</v>
      </c>
      <c r="AB15" s="19" t="str">
        <f>IFERROR(IF(AC15="","",IF(AC15&lt;=0.2,"Leve",IF(AC15&lt;=0.4,"Menor",IF(AC15&lt;=0.6,"Moderado",IF(AC15&lt;=0.8,"Mayor","Catastrófico"))))),"")</f>
        <v>Mayor</v>
      </c>
      <c r="AC15" s="25">
        <f t="shared" si="6"/>
        <v>0.8</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Alto</v>
      </c>
      <c r="AE15" s="12" t="s">
        <v>220</v>
      </c>
      <c r="AF15" s="550"/>
      <c r="AG15" s="550"/>
      <c r="AH15" s="551"/>
      <c r="AI15" s="551"/>
      <c r="AJ15" s="552"/>
      <c r="AK15" s="553"/>
    </row>
    <row r="16" spans="1:37" ht="76.5">
      <c r="A16" s="231"/>
      <c r="B16" s="548"/>
      <c r="C16" s="548"/>
      <c r="D16" s="548"/>
      <c r="E16" s="549"/>
      <c r="F16" s="548"/>
      <c r="G16" s="232"/>
      <c r="H16" s="226"/>
      <c r="I16" s="225"/>
      <c r="J16" s="224"/>
      <c r="K16" s="225">
        <f ca="1">IF(NOT(ISERROR(MATCH(J16,_xlfn.ANCHORARRAY(E19),0))),#REF!&amp;"Por favor no seleccionar los criterios de impacto",J16)</f>
        <v>0</v>
      </c>
      <c r="L16" s="226"/>
      <c r="M16" s="225"/>
      <c r="N16" s="227"/>
      <c r="O16" s="23">
        <v>2</v>
      </c>
      <c r="P16" s="223" t="s">
        <v>631</v>
      </c>
      <c r="Q16" s="223" t="s">
        <v>323</v>
      </c>
      <c r="R16" s="23" t="str">
        <f t="shared" si="0"/>
        <v>Probabilidad</v>
      </c>
      <c r="S16" s="12" t="s">
        <v>61</v>
      </c>
      <c r="T16" s="12" t="s">
        <v>62</v>
      </c>
      <c r="U16" s="25" t="str">
        <f t="shared" ref="U16" si="25">IF(AND(S16="Preventivo",T16="Automático"),"50%",IF(AND(S16="Preventivo",T16="Manual"),"40%",IF(AND(S16="Detectivo",T16="Automático"),"40%",IF(AND(S16="Detectivo",T16="Manual"),"30%",IF(AND(S16="Correctivo",T16="Automático"),"35%",IF(AND(S16="Correctivo",T16="Manual"),"25%",""))))))</f>
        <v>40%</v>
      </c>
      <c r="V16" s="12" t="s">
        <v>63</v>
      </c>
      <c r="W16" s="12" t="s">
        <v>64</v>
      </c>
      <c r="X16" s="12" t="s">
        <v>65</v>
      </c>
      <c r="Y16" s="26">
        <f t="shared" si="2"/>
        <v>0</v>
      </c>
      <c r="Z16" s="19" t="str">
        <f t="shared" si="12"/>
        <v>Muy Baja</v>
      </c>
      <c r="AA16" s="25">
        <f t="shared" ref="AA16" si="26">+Y16</f>
        <v>0</v>
      </c>
      <c r="AB16" s="19" t="str">
        <f t="shared" si="14"/>
        <v>Leve</v>
      </c>
      <c r="AC16" s="25">
        <f t="shared" si="6"/>
        <v>0</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2" t="s">
        <v>220</v>
      </c>
      <c r="AF16" s="300"/>
      <c r="AG16" s="300"/>
      <c r="AH16" s="302"/>
      <c r="AI16" s="302"/>
      <c r="AJ16" s="504"/>
      <c r="AK16" s="506"/>
    </row>
    <row r="17" spans="1:37">
      <c r="A17" s="228" t="s">
        <v>97</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30"/>
    </row>
    <row r="18" spans="1:37">
      <c r="A18" s="28"/>
      <c r="B18" s="29" t="s">
        <v>98</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row>
  </sheetData>
  <mergeCells count="113">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M7:M8"/>
    <mergeCell ref="N7:N8"/>
    <mergeCell ref="O7:O8"/>
    <mergeCell ref="P7:P8"/>
    <mergeCell ref="Q7:Q8"/>
    <mergeCell ref="R7:R8"/>
    <mergeCell ref="G7:G8"/>
    <mergeCell ref="H7:H8"/>
    <mergeCell ref="I7:I8"/>
    <mergeCell ref="J7:J8"/>
    <mergeCell ref="K7:K8"/>
    <mergeCell ref="L7:L8"/>
    <mergeCell ref="AJ7:AJ8"/>
    <mergeCell ref="AK7:AK8"/>
    <mergeCell ref="AD7:AD8"/>
    <mergeCell ref="AE7:AE8"/>
    <mergeCell ref="AF7:AF8"/>
    <mergeCell ref="AG7:AG8"/>
    <mergeCell ref="AH7:AH8"/>
    <mergeCell ref="AI7:AI8"/>
    <mergeCell ref="S7:X7"/>
    <mergeCell ref="Y7:Y8"/>
    <mergeCell ref="Z7:Z8"/>
    <mergeCell ref="AA7:AA8"/>
    <mergeCell ref="AB7:AB8"/>
    <mergeCell ref="AC7:AC8"/>
    <mergeCell ref="A17:AK17"/>
    <mergeCell ref="A9:A10"/>
    <mergeCell ref="B9:B10"/>
    <mergeCell ref="C9:C10"/>
    <mergeCell ref="D9:D10"/>
    <mergeCell ref="E9:E10"/>
    <mergeCell ref="F9:F10"/>
    <mergeCell ref="G9:G10"/>
    <mergeCell ref="H9:H10"/>
    <mergeCell ref="I9:I10"/>
    <mergeCell ref="AF9:AF16"/>
    <mergeCell ref="AG9:AG16"/>
    <mergeCell ref="AH9:AH16"/>
    <mergeCell ref="AI9:AI16"/>
    <mergeCell ref="AJ9:AJ16"/>
    <mergeCell ref="AK9:AK16"/>
    <mergeCell ref="J9:J10"/>
    <mergeCell ref="K9:K10"/>
    <mergeCell ref="L9:L10"/>
    <mergeCell ref="M9:M10"/>
    <mergeCell ref="N9:N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A13:A14"/>
    <mergeCell ref="B13:B14"/>
    <mergeCell ref="C13:C14"/>
    <mergeCell ref="D13:D14"/>
    <mergeCell ref="E13:E14"/>
    <mergeCell ref="A15:A16"/>
    <mergeCell ref="B15:B16"/>
    <mergeCell ref="C15:C16"/>
    <mergeCell ref="D15:D16"/>
    <mergeCell ref="E15:E16"/>
    <mergeCell ref="F15:F16"/>
    <mergeCell ref="G15:G16"/>
    <mergeCell ref="F13:F14"/>
    <mergeCell ref="G13:G14"/>
    <mergeCell ref="N15:N16"/>
    <mergeCell ref="H15:H16"/>
    <mergeCell ref="I15:I16"/>
    <mergeCell ref="J15:J16"/>
    <mergeCell ref="K15:K16"/>
    <mergeCell ref="L15:L16"/>
    <mergeCell ref="M15:M16"/>
    <mergeCell ref="L13:L14"/>
    <mergeCell ref="M13:M14"/>
    <mergeCell ref="N13:N14"/>
    <mergeCell ref="H13:H14"/>
    <mergeCell ref="I13:I14"/>
    <mergeCell ref="J13:J14"/>
    <mergeCell ref="K13:K14"/>
  </mergeCells>
  <conditionalFormatting sqref="H9 H11 H13 H15">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K9:K16">
    <cfRule type="containsText" dxfId="23" priority="1" operator="containsText" text="❌">
      <formula>NOT(ISERROR(SEARCH("❌",K9)))</formula>
    </cfRule>
  </conditionalFormatting>
  <conditionalFormatting sqref="L9 L11 L13 L15">
    <cfRule type="cellIs" dxfId="22" priority="20" operator="equal">
      <formula>"Catastrófico"</formula>
    </cfRule>
    <cfRule type="cellIs" dxfId="21" priority="21" operator="equal">
      <formula>"Mayor"</formula>
    </cfRule>
    <cfRule type="cellIs" dxfId="20" priority="22" operator="equal">
      <formula>"Moderado"</formula>
    </cfRule>
    <cfRule type="cellIs" dxfId="19" priority="23" operator="equal">
      <formula>"Menor"</formula>
    </cfRule>
    <cfRule type="cellIs" dxfId="18" priority="24" operator="equal">
      <formula>"Leve"</formula>
    </cfRule>
  </conditionalFormatting>
  <conditionalFormatting sqref="N9 N11 N13 N15">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Z9:Z16">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AB9:AB16">
    <cfRule type="cellIs" dxfId="8" priority="6" operator="equal">
      <formula>"Catastrófico"</formula>
    </cfRule>
    <cfRule type="cellIs" dxfId="7" priority="7" operator="equal">
      <formula>"Mayor"</formula>
    </cfRule>
    <cfRule type="cellIs" dxfId="6" priority="8" operator="equal">
      <formula>"Moderado"</formula>
    </cfRule>
    <cfRule type="cellIs" dxfId="5" priority="9" operator="equal">
      <formula>"Menor"</formula>
    </cfRule>
    <cfRule type="cellIs" dxfId="4" priority="10" operator="equal">
      <formula>"Leve"</formula>
    </cfRule>
  </conditionalFormatting>
  <conditionalFormatting sqref="AD9:AD16">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9F97F-4064-4BB9-9AF3-A32FA3CC49EA}">
  <dimension ref="A1"/>
  <sheetViews>
    <sheetView topLeftCell="B2" workbookViewId="0">
      <selection activeCell="I19" sqref="I19"/>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3DE0-2998-491E-8212-E534EAE8D6B1}">
  <sheetPr>
    <tabColor theme="2" tint="-0.749992370372631"/>
  </sheetPr>
  <dimension ref="A1:AK15"/>
  <sheetViews>
    <sheetView topLeftCell="B10" zoomScale="80" zoomScaleNormal="80" workbookViewId="0">
      <selection activeCell="F11" sqref="F11:F12"/>
    </sheetView>
  </sheetViews>
  <sheetFormatPr baseColWidth="10" defaultRowHeight="15"/>
  <cols>
    <col min="5" max="5" width="46.140625" customWidth="1"/>
    <col min="16" max="16" width="39"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401" t="s">
        <v>1</v>
      </c>
      <c r="AI1" s="401"/>
      <c r="AJ1" s="401"/>
      <c r="AK1" s="401"/>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401" t="s">
        <v>3</v>
      </c>
      <c r="AI2" s="401"/>
      <c r="AJ2" s="401"/>
      <c r="AK2" s="401"/>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401" t="s">
        <v>4</v>
      </c>
      <c r="AI3" s="401"/>
      <c r="AJ3" s="401"/>
      <c r="AK3" s="401"/>
    </row>
    <row r="4" spans="1:37" ht="16.5">
      <c r="A4" s="75"/>
      <c r="B4" s="76"/>
      <c r="C4" s="75"/>
      <c r="D4" s="75"/>
      <c r="E4" s="77"/>
      <c r="F4" s="78"/>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row>
    <row r="5" spans="1:37" ht="23.25">
      <c r="A5" s="394" t="s">
        <v>5</v>
      </c>
      <c r="B5" s="394"/>
      <c r="C5" s="395" t="s">
        <v>213</v>
      </c>
      <c r="D5" s="395"/>
      <c r="E5" s="395"/>
      <c r="F5" s="395"/>
      <c r="G5" s="395"/>
      <c r="H5" s="396" t="s">
        <v>7</v>
      </c>
      <c r="I5" s="396"/>
      <c r="J5" s="397" t="s">
        <v>214</v>
      </c>
      <c r="K5" s="397"/>
      <c r="L5" s="397"/>
      <c r="M5" s="397"/>
      <c r="N5" s="397"/>
      <c r="O5" s="396" t="s">
        <v>9</v>
      </c>
      <c r="P5" s="396"/>
      <c r="Q5" s="398"/>
      <c r="R5" s="399"/>
      <c r="S5" s="399"/>
      <c r="T5" s="399"/>
      <c r="U5" s="399"/>
      <c r="V5" s="399"/>
      <c r="W5" s="399"/>
      <c r="X5" s="399"/>
      <c r="Y5" s="399"/>
      <c r="Z5" s="399"/>
      <c r="AA5" s="399"/>
      <c r="AB5" s="399"/>
      <c r="AC5" s="399"/>
      <c r="AD5" s="399"/>
      <c r="AE5" s="400"/>
      <c r="AF5" s="79" t="s">
        <v>11</v>
      </c>
      <c r="AG5" s="390"/>
      <c r="AH5" s="390"/>
      <c r="AI5" s="390"/>
      <c r="AJ5" s="390"/>
      <c r="AK5" s="390"/>
    </row>
    <row r="6" spans="1:37" ht="16.5">
      <c r="A6" s="388" t="s">
        <v>13</v>
      </c>
      <c r="B6" s="388"/>
      <c r="C6" s="388"/>
      <c r="D6" s="388"/>
      <c r="E6" s="388"/>
      <c r="F6" s="388"/>
      <c r="G6" s="388"/>
      <c r="H6" s="382" t="s">
        <v>14</v>
      </c>
      <c r="I6" s="382"/>
      <c r="J6" s="382"/>
      <c r="K6" s="382"/>
      <c r="L6" s="382"/>
      <c r="M6" s="382"/>
      <c r="N6" s="382"/>
      <c r="O6" s="391" t="s">
        <v>15</v>
      </c>
      <c r="P6" s="391"/>
      <c r="Q6" s="391"/>
      <c r="R6" s="391"/>
      <c r="S6" s="391"/>
      <c r="T6" s="391"/>
      <c r="U6" s="391"/>
      <c r="V6" s="391"/>
      <c r="W6" s="391"/>
      <c r="X6" s="391"/>
      <c r="Y6" s="392" t="s">
        <v>16</v>
      </c>
      <c r="Z6" s="392"/>
      <c r="AA6" s="392"/>
      <c r="AB6" s="392"/>
      <c r="AC6" s="392"/>
      <c r="AD6" s="392"/>
      <c r="AE6" s="392"/>
      <c r="AF6" s="393" t="s">
        <v>17</v>
      </c>
      <c r="AG6" s="393"/>
      <c r="AH6" s="393"/>
      <c r="AI6" s="393"/>
      <c r="AJ6" s="393"/>
      <c r="AK6" s="393"/>
    </row>
    <row r="7" spans="1:37" ht="16.5">
      <c r="A7" s="387" t="s">
        <v>18</v>
      </c>
      <c r="B7" s="388" t="s">
        <v>19</v>
      </c>
      <c r="C7" s="389" t="s">
        <v>20</v>
      </c>
      <c r="D7" s="389" t="s">
        <v>21</v>
      </c>
      <c r="E7" s="389" t="s">
        <v>22</v>
      </c>
      <c r="F7" s="389" t="s">
        <v>23</v>
      </c>
      <c r="G7" s="389" t="s">
        <v>24</v>
      </c>
      <c r="H7" s="383" t="s">
        <v>25</v>
      </c>
      <c r="I7" s="382" t="s">
        <v>26</v>
      </c>
      <c r="J7" s="383" t="s">
        <v>27</v>
      </c>
      <c r="K7" s="383" t="s">
        <v>28</v>
      </c>
      <c r="L7" s="383" t="s">
        <v>29</v>
      </c>
      <c r="M7" s="382" t="s">
        <v>26</v>
      </c>
      <c r="N7" s="383" t="s">
        <v>30</v>
      </c>
      <c r="O7" s="384" t="s">
        <v>31</v>
      </c>
      <c r="P7" s="369" t="s">
        <v>32</v>
      </c>
      <c r="Q7" s="385" t="s">
        <v>33</v>
      </c>
      <c r="R7" s="369" t="s">
        <v>34</v>
      </c>
      <c r="S7" s="369" t="s">
        <v>35</v>
      </c>
      <c r="T7" s="369"/>
      <c r="U7" s="369"/>
      <c r="V7" s="369"/>
      <c r="W7" s="369"/>
      <c r="X7" s="369"/>
      <c r="Y7" s="370" t="s">
        <v>36</v>
      </c>
      <c r="Z7" s="370" t="s">
        <v>37</v>
      </c>
      <c r="AA7" s="370" t="s">
        <v>26</v>
      </c>
      <c r="AB7" s="370" t="s">
        <v>38</v>
      </c>
      <c r="AC7" s="370" t="s">
        <v>26</v>
      </c>
      <c r="AD7" s="370" t="s">
        <v>39</v>
      </c>
      <c r="AE7" s="370" t="s">
        <v>40</v>
      </c>
      <c r="AF7" s="368" t="s">
        <v>17</v>
      </c>
      <c r="AG7" s="368" t="s">
        <v>41</v>
      </c>
      <c r="AH7" s="368" t="s">
        <v>42</v>
      </c>
      <c r="AI7" s="368" t="s">
        <v>43</v>
      </c>
      <c r="AJ7" s="368" t="s">
        <v>44</v>
      </c>
      <c r="AK7" s="368" t="s">
        <v>45</v>
      </c>
    </row>
    <row r="8" spans="1:37" ht="78.75">
      <c r="A8" s="387"/>
      <c r="B8" s="388"/>
      <c r="C8" s="389"/>
      <c r="D8" s="389"/>
      <c r="E8" s="389"/>
      <c r="F8" s="389"/>
      <c r="G8" s="389"/>
      <c r="H8" s="383"/>
      <c r="I8" s="382"/>
      <c r="J8" s="383"/>
      <c r="K8" s="383"/>
      <c r="L8" s="382"/>
      <c r="M8" s="382"/>
      <c r="N8" s="383"/>
      <c r="O8" s="384"/>
      <c r="P8" s="369"/>
      <c r="Q8" s="386"/>
      <c r="R8" s="369"/>
      <c r="S8" s="80" t="s">
        <v>46</v>
      </c>
      <c r="T8" s="80" t="s">
        <v>47</v>
      </c>
      <c r="U8" s="80" t="s">
        <v>48</v>
      </c>
      <c r="V8" s="80" t="s">
        <v>49</v>
      </c>
      <c r="W8" s="80" t="s">
        <v>50</v>
      </c>
      <c r="X8" s="80" t="s">
        <v>51</v>
      </c>
      <c r="Y8" s="370"/>
      <c r="Z8" s="370"/>
      <c r="AA8" s="370"/>
      <c r="AB8" s="370"/>
      <c r="AC8" s="370"/>
      <c r="AD8" s="370"/>
      <c r="AE8" s="370"/>
      <c r="AF8" s="368"/>
      <c r="AG8" s="368"/>
      <c r="AH8" s="368"/>
      <c r="AI8" s="368"/>
      <c r="AJ8" s="368"/>
      <c r="AK8" s="368"/>
    </row>
    <row r="9" spans="1:37" ht="128.25">
      <c r="A9" s="231">
        <v>1</v>
      </c>
      <c r="B9" s="374" t="s">
        <v>52</v>
      </c>
      <c r="C9" s="374" t="s">
        <v>215</v>
      </c>
      <c r="D9" s="375" t="s">
        <v>216</v>
      </c>
      <c r="E9" s="377" t="s">
        <v>217</v>
      </c>
      <c r="F9" s="374" t="s">
        <v>218</v>
      </c>
      <c r="G9" s="378">
        <v>15</v>
      </c>
      <c r="H9" s="379" t="str">
        <f>IF(G9&lt;=0,"",IF(G9&lt;=2,"Muy Baja",IF(G9&lt;=24,"Baja",IF(G9&lt;=500,"Media",IF(G9&lt;=5000,"Alta","Muy Alta")))))</f>
        <v>Baja</v>
      </c>
      <c r="I9" s="380">
        <f>IF(H9="","",IF(H9="Muy Baja",0.2,IF(H9="Baja",0.4,IF(H9="Media",0.6,IF(H9="Alta",0.8,IF(H9="Muy Alta",1,))))))</f>
        <v>0.4</v>
      </c>
      <c r="J9" s="381" t="s">
        <v>135</v>
      </c>
      <c r="K9" s="380" t="str">
        <f>IF(NOT(ISERROR(MATCH(J9,'[10]Tabla Impacto'!$B$221:$B$223,0))),'[10]Tabla Impacto'!$F$223&amp;"Por favor no seleccionar los criterios de impacto(Afectación Económica o presupuestal y Pérdida Reputacional)",J9)</f>
        <v xml:space="preserve">     Entre 10 y 50 SMLMV </v>
      </c>
      <c r="L9" s="379" t="str">
        <f>IF(OR(K9='[10]Tabla Impacto'!$C$11,K9='[10]Tabla Impacto'!$D$11),"Leve",IF(OR(K9='[10]Tabla Impacto'!$C$12,K9='[10]Tabla Impacto'!$D$12),"Menor",IF(OR(K9='[10]Tabla Impacto'!$C$13,K9='[10]Tabla Impacto'!$D$13),"Moderado",IF(OR(K9='[10]Tabla Impacto'!$C$14,K9='[10]Tabla Impacto'!$D$14),"Mayor",IF(OR(K9='[10]Tabla Impacto'!$C$15,K9='[10]Tabla Impacto'!$D$15),"Catastrófico","")))))</f>
        <v>Menor</v>
      </c>
      <c r="M9" s="380">
        <f>IF(L9="","",IF(L9="Leve",0.2,IF(L9="Menor",0.4,IF(L9="Moderado",0.6,IF(L9="Mayor",0.8,IF(L9="Catastrófico",1,))))))</f>
        <v>0.4</v>
      </c>
      <c r="N9" s="373"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213" t="s">
        <v>219</v>
      </c>
      <c r="Q9" s="214">
        <v>30</v>
      </c>
      <c r="R9" s="49" t="str">
        <f t="shared" ref="R9:R10" si="0">IF(OR(S9="Preventivo",S9="Detectivo"),"Probabilidad",IF(S9="Correctivo","Impacto",""))</f>
        <v>Probabilidad</v>
      </c>
      <c r="S9" s="83" t="s">
        <v>61</v>
      </c>
      <c r="T9" s="83" t="s">
        <v>62</v>
      </c>
      <c r="U9" s="50" t="str">
        <f>IF(AND(S9="Preventivo",T9="Automático"),"50%",IF(AND(S9="Preventivo",T9="Manual"),"40%",IF(AND(S9="Detectivo",T9="Automático"),"40%",IF(AND(S9="Detectivo",T9="Manual"),"30%",IF(AND(S9="Correctivo",T9="Automático"),"35%",IF(AND(S9="Correctivo",T9="Manual"),"25%",""))))))</f>
        <v>40%</v>
      </c>
      <c r="V9" s="83" t="s">
        <v>70</v>
      </c>
      <c r="W9" s="83" t="s">
        <v>64</v>
      </c>
      <c r="X9" s="83" t="s">
        <v>65</v>
      </c>
      <c r="Y9" s="51">
        <f>IFERROR(IF(R9="Probabilidad",(I9-(+I9*U9)),IF(R9="Impacto",I9,"")),"")</f>
        <v>0.24</v>
      </c>
      <c r="Z9" s="52" t="str">
        <f>IFERROR(IF(Y9="","",IF(Y9&lt;=0.2,"Muy Baja",IF(Y9&lt;=0.4,"Baja",IF(Y9&lt;=0.6,"Media",IF(Y9&lt;=0.8,"Alta","Muy Alta"))))),"")</f>
        <v>Baja</v>
      </c>
      <c r="AA9" s="50">
        <f>+Y9</f>
        <v>0.24</v>
      </c>
      <c r="AB9" s="52" t="str">
        <f>IFERROR(IF(AC9="","",IF(AC9&lt;=0.2,"Leve",IF(AC9&lt;=0.4,"Menor",IF(AC9&lt;=0.6,"Moderado",IF(AC9&lt;=0.8,"Mayor","Catastrófico"))))),"")</f>
        <v>Menor</v>
      </c>
      <c r="AC9" s="50">
        <f>IFERROR(IF(R9="Impacto",(M9-(+M9*U9)),IF(R9="Probabilidad",M9,"")),"")</f>
        <v>0.4</v>
      </c>
      <c r="AD9" s="53"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3" t="s">
        <v>220</v>
      </c>
      <c r="AF9" s="81" t="s">
        <v>221</v>
      </c>
      <c r="AG9" s="81" t="s">
        <v>222</v>
      </c>
      <c r="AH9" s="84" t="s">
        <v>223</v>
      </c>
      <c r="AI9" s="84" t="s">
        <v>224</v>
      </c>
      <c r="AJ9" s="81" t="s">
        <v>225</v>
      </c>
      <c r="AK9" s="82" t="s">
        <v>226</v>
      </c>
    </row>
    <row r="10" spans="1:37" ht="128.25">
      <c r="A10" s="231"/>
      <c r="B10" s="374"/>
      <c r="C10" s="374"/>
      <c r="D10" s="376"/>
      <c r="E10" s="377"/>
      <c r="F10" s="374"/>
      <c r="G10" s="378"/>
      <c r="H10" s="379"/>
      <c r="I10" s="380"/>
      <c r="J10" s="381"/>
      <c r="K10" s="380">
        <f ca="1">IF(NOT(ISERROR(MATCH(J10,_xlfn.ANCHORARRAY(#REF!),0))),#REF!&amp;"Por favor no seleccionar los criterios de impacto",J10)</f>
        <v>0</v>
      </c>
      <c r="L10" s="379"/>
      <c r="M10" s="380"/>
      <c r="N10" s="373"/>
      <c r="O10" s="1">
        <v>2</v>
      </c>
      <c r="P10" s="213" t="s">
        <v>227</v>
      </c>
      <c r="Q10" s="214">
        <v>15</v>
      </c>
      <c r="R10" s="49" t="str">
        <f t="shared" si="0"/>
        <v>Probabilidad</v>
      </c>
      <c r="S10" s="83" t="s">
        <v>61</v>
      </c>
      <c r="T10" s="83" t="s">
        <v>62</v>
      </c>
      <c r="U10" s="50" t="str">
        <f t="shared" ref="U10" si="1">IF(AND(S10="Preventivo",T10="Automático"),"50%",IF(AND(S10="Preventivo",T10="Manual"),"40%",IF(AND(S10="Detectivo",T10="Automático"),"40%",IF(AND(S10="Detectivo",T10="Manual"),"30%",IF(AND(S10="Correctivo",T10="Automático"),"35%",IF(AND(S10="Correctivo",T10="Manual"),"25%",""))))))</f>
        <v>40%</v>
      </c>
      <c r="V10" s="83" t="s">
        <v>63</v>
      </c>
      <c r="W10" s="83" t="s">
        <v>64</v>
      </c>
      <c r="X10" s="83" t="s">
        <v>228</v>
      </c>
      <c r="Y10" s="51">
        <f>IFERROR(IF(AND(R9="Probabilidad",R10="Probabilidad"),(AA9-(+AA9*U10)),IF(R10="Probabilidad",(I9-(+I9*U10)),IF(R10="Impacto",AA9,""))),"")</f>
        <v>0.14399999999999999</v>
      </c>
      <c r="Z10" s="52" t="str">
        <f t="shared" ref="Z10" si="2">IFERROR(IF(Y10="","",IF(Y10&lt;=0.2,"Muy Baja",IF(Y10&lt;=0.4,"Baja",IF(Y10&lt;=0.6,"Media",IF(Y10&lt;=0.8,"Alta","Muy Alta"))))),"")</f>
        <v>Muy Baja</v>
      </c>
      <c r="AA10" s="50">
        <f t="shared" ref="AA10" si="3">+Y10</f>
        <v>0.14399999999999999</v>
      </c>
      <c r="AB10" s="52" t="str">
        <f t="shared" ref="AB10" si="4">IFERROR(IF(AC10="","",IF(AC10&lt;=0.2,"Leve",IF(AC10&lt;=0.4,"Menor",IF(AC10&lt;=0.6,"Moderado",IF(AC10&lt;=0.8,"Mayor","Catastrófico"))))),"")</f>
        <v>Menor</v>
      </c>
      <c r="AC10" s="50">
        <f>IFERROR(IF(AND(R9="Impacto",R10="Impacto"),(AC9-(+AC9*U10)),IF(R10="Impacto",($M$9-(+$M$9*U10)),IF(R10="Probabilidad",AC9,""))),"")</f>
        <v>0.4</v>
      </c>
      <c r="AD10" s="53"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83" t="s">
        <v>66</v>
      </c>
      <c r="AF10" s="81" t="s">
        <v>221</v>
      </c>
      <c r="AG10" s="81" t="s">
        <v>222</v>
      </c>
      <c r="AH10" s="84" t="s">
        <v>223</v>
      </c>
      <c r="AI10" s="84" t="s">
        <v>224</v>
      </c>
      <c r="AJ10" s="81" t="s">
        <v>225</v>
      </c>
      <c r="AK10" s="82" t="s">
        <v>226</v>
      </c>
    </row>
    <row r="11" spans="1:37" ht="128.25" customHeight="1">
      <c r="A11" s="231">
        <v>2</v>
      </c>
      <c r="B11" s="356" t="s">
        <v>52</v>
      </c>
      <c r="C11" s="356" t="s">
        <v>229</v>
      </c>
      <c r="D11" s="356" t="s">
        <v>230</v>
      </c>
      <c r="E11" s="358" t="s">
        <v>231</v>
      </c>
      <c r="F11" s="356" t="s">
        <v>56</v>
      </c>
      <c r="G11" s="360">
        <v>150</v>
      </c>
      <c r="H11" s="362" t="s">
        <v>232</v>
      </c>
      <c r="I11" s="364">
        <f>IF(H11="","",IF(H11="Muy Baja",0.2,IF(H11="Baja",0.4,IF(H11="Media",0.6,IF(H11="Alta",0.8,IF(H11="Muy Alta",1,))))))</f>
        <v>0.6</v>
      </c>
      <c r="J11" s="366" t="s">
        <v>145</v>
      </c>
      <c r="K11" s="364" t="str">
        <f>IF(NOT(ISERROR(MATCH(J11,'[11]Tabla Impacto'!$B$221:$B$223,0))),'[11]Tabla Impacto'!$F$223&amp;"Por favor no seleccionar los criterios de impacto(Afectación Económica o presupuestal y Pérdida Reputacional)",J11)</f>
        <v xml:space="preserve">     Entre 100 y 500 SMLMV </v>
      </c>
      <c r="L11" s="354" t="str">
        <f>IF(OR(K11='[11]Tabla Impacto'!$C$11,K11='[11]Tabla Impacto'!$D$11),"Leve",IF(OR(K11='[11]Tabla Impacto'!$C$12,K11='[11]Tabla Impacto'!$D$12),"Menor",IF(OR(K11='[11]Tabla Impacto'!$C$13,K11='[11]Tabla Impacto'!$D$13),"Moderado",IF(OR(K11='[11]Tabla Impacto'!$C$14,K11='[11]Tabla Impacto'!$D$14),"Mayor",IF(OR(K11='[11]Tabla Impacto'!$C$15,K11='[11]Tabla Impacto'!$D$15),"Catastrófico","")))))</f>
        <v>Mayor</v>
      </c>
      <c r="M11" s="364">
        <f>IF(L11="","",IF(L11="Leve",0.2,IF(L11="Menor",0.4,IF(L11="Moderado",0.6,IF(L11="Mayor",0.8,IF(L11="Catastrófico",1,))))))</f>
        <v>0.8</v>
      </c>
      <c r="N11" s="371"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99">
        <v>1</v>
      </c>
      <c r="P11" s="200" t="s">
        <v>233</v>
      </c>
      <c r="Q11" s="201">
        <v>15</v>
      </c>
      <c r="R11" s="202" t="str">
        <f>IF(OR(S11="Preventivo",S11="Detectivo"),"Probabilidad",IF(S11="Correctivo","Impacto",""))</f>
        <v>Probabilidad</v>
      </c>
      <c r="S11" s="203" t="s">
        <v>61</v>
      </c>
      <c r="T11" s="203" t="s">
        <v>62</v>
      </c>
      <c r="U11" s="204" t="str">
        <f>IF(AND(S11="Preventivo",T11="Automático"),"50%",IF(AND(S11="Preventivo",T11="Manual"),"40%",IF(AND(S11="Detectivo",T11="Automático"),"40%",IF(AND(S11="Detectivo",T11="Manual"),"30%",IF(AND(S11="Correctivo",T11="Automático"),"35%",IF(AND(S11="Correctivo",T11="Manual"),"25%",""))))))</f>
        <v>40%</v>
      </c>
      <c r="V11" s="203" t="s">
        <v>70</v>
      </c>
      <c r="W11" s="203" t="s">
        <v>64</v>
      </c>
      <c r="X11" s="203" t="s">
        <v>65</v>
      </c>
      <c r="Y11" s="205">
        <f>IFERROR(IF(R11="Probabilidad",(I11-(+I11*U11)),IF(R11="Impacto",I11,"")),"")</f>
        <v>0.36</v>
      </c>
      <c r="Z11" s="85" t="str">
        <f>IFERROR(IF(Y11="","",IF(Y11&lt;=0.2,"Muy Baja",IF(Y11&lt;=0.4,"Baja",IF(Y11&lt;=0.6,"Media",IF(Y11&lt;=0.8,"Alta","Muy Alta"))))),"")</f>
        <v>Baja</v>
      </c>
      <c r="AA11" s="215">
        <f>+Y11</f>
        <v>0.36</v>
      </c>
      <c r="AB11" s="85" t="str">
        <f>IFERROR(IF(AC11="","",IF(AC11&lt;=0.2,"Leve",IF(AC11&lt;=0.4,"Menor",IF(AC11&lt;=0.6,"Moderado",IF(AC11&lt;=0.8,"Mayor","Catastrófico"))))),"")</f>
        <v>Mayor</v>
      </c>
      <c r="AC11" s="215">
        <f>IFERROR(IF(R11="Impacto",(M11-(+M11*U11)),IF(R11="Probabilidad",M11,"")),"")</f>
        <v>0.8</v>
      </c>
      <c r="AD11" s="86"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217" t="s">
        <v>66</v>
      </c>
      <c r="AF11" s="197" t="s">
        <v>221</v>
      </c>
      <c r="AG11" s="197" t="s">
        <v>234</v>
      </c>
      <c r="AH11" s="218" t="s">
        <v>223</v>
      </c>
      <c r="AI11" s="218" t="s">
        <v>224</v>
      </c>
      <c r="AJ11" s="197" t="s">
        <v>235</v>
      </c>
      <c r="AK11" s="219" t="s">
        <v>226</v>
      </c>
    </row>
    <row r="12" spans="1:37" ht="114">
      <c r="A12" s="231"/>
      <c r="B12" s="357"/>
      <c r="C12" s="357"/>
      <c r="D12" s="357"/>
      <c r="E12" s="359"/>
      <c r="F12" s="357"/>
      <c r="G12" s="361"/>
      <c r="H12" s="363"/>
      <c r="I12" s="365"/>
      <c r="J12" s="367"/>
      <c r="K12" s="365">
        <f ca="1">IF(NOT(ISERROR(MATCH(J12,_xlfn.ANCHORARRAY(#REF!),0))),#REF!&amp;"Por favor no seleccionar los criterios de impacto",J12)</f>
        <v>0</v>
      </c>
      <c r="L12" s="355"/>
      <c r="M12" s="365"/>
      <c r="N12" s="372"/>
      <c r="O12" s="206">
        <v>2</v>
      </c>
      <c r="P12" s="207" t="s">
        <v>236</v>
      </c>
      <c r="Q12" s="208">
        <v>20</v>
      </c>
      <c r="R12" s="209" t="str">
        <f>IF(OR(S12="Preventivo",S12="Detectivo"),"Probabilidad",IF(S12="Correctivo","Impacto",""))</f>
        <v>Probabilidad</v>
      </c>
      <c r="S12" s="210" t="s">
        <v>61</v>
      </c>
      <c r="T12" s="210" t="s">
        <v>62</v>
      </c>
      <c r="U12" s="211" t="str">
        <f>IF(AND(S12="Preventivo",T12="Automático"),"50%",IF(AND(S12="Preventivo",T12="Manual"),"40%",IF(AND(S12="Detectivo",T12="Automático"),"40%",IF(AND(S12="Detectivo",T12="Manual"),"30%",IF(AND(S12="Correctivo",T12="Automático"),"35%",IF(AND(S12="Correctivo",T12="Manual"),"25%",""))))))</f>
        <v>40%</v>
      </c>
      <c r="V12" s="210" t="s">
        <v>70</v>
      </c>
      <c r="W12" s="210" t="s">
        <v>64</v>
      </c>
      <c r="X12" s="210" t="s">
        <v>65</v>
      </c>
      <c r="Y12" s="212">
        <f>IFERROR(IF(AND(R11="Probabilidad",R12="Probabilidad"),(AA11-(+AA11*U12)),IF(R12="Probabilidad",(I11-(+I11*U12)),IF(R12="Impacto",AA11,""))),"")</f>
        <v>0.216</v>
      </c>
      <c r="Z12" s="87" t="str">
        <f>IFERROR(IF(Y12="","",IF(Y12&lt;=0.2,"Muy Baja",IF(Y12&lt;=0.4,"Baja",IF(Y12&lt;=0.6,"Media",IF(Y12&lt;=0.8,"Alta","Muy Alta"))))),"")</f>
        <v>Baja</v>
      </c>
      <c r="AA12" s="216">
        <f>+Y12</f>
        <v>0.216</v>
      </c>
      <c r="AB12" s="88" t="str">
        <f>IFERROR(IF(AC12="","",IF(AC12&lt;=0.2,"Leve",IF(AC12&lt;=0.4,"Menor",IF(AC12&lt;=0.6,"Moderado",IF(AC12&lt;=0.8,"Mayor","Catastrófico"))))),"")</f>
        <v>Menor</v>
      </c>
      <c r="AC12" s="216">
        <f>IFERROR(IF(AND(R11="Impacto",R12="Impacto"),(AC9-(+AC9*U12)),IF(R12="Impacto",($M$11-(+$M$11*U12)),IF(R12="Probabilidad",AC9,""))),"")</f>
        <v>0.4</v>
      </c>
      <c r="AD12" s="89"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220" t="s">
        <v>66</v>
      </c>
      <c r="AF12" s="198" t="s">
        <v>221</v>
      </c>
      <c r="AG12" s="198" t="s">
        <v>234</v>
      </c>
      <c r="AH12" s="221" t="s">
        <v>223</v>
      </c>
      <c r="AI12" s="221" t="s">
        <v>224</v>
      </c>
      <c r="AJ12" s="198" t="s">
        <v>235</v>
      </c>
      <c r="AK12" s="222" t="s">
        <v>226</v>
      </c>
    </row>
    <row r="13" spans="1:37" ht="16.5">
      <c r="A13" s="90"/>
      <c r="B13" s="351" t="s">
        <v>237</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3"/>
    </row>
    <row r="14" spans="1:37" ht="16.5">
      <c r="A14" s="91"/>
      <c r="B14" s="91"/>
      <c r="C14" s="91"/>
      <c r="D14" s="91"/>
      <c r="E14" s="92"/>
      <c r="F14" s="93"/>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row>
    <row r="15" spans="1:37" ht="16.5">
      <c r="A15" s="92"/>
      <c r="B15" s="94" t="s">
        <v>238</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row>
  </sheetData>
  <mergeCells count="79">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F7:F8"/>
    <mergeCell ref="G7:G8"/>
    <mergeCell ref="H7:H8"/>
    <mergeCell ref="I7:I8"/>
    <mergeCell ref="J7:J8"/>
    <mergeCell ref="A7:A8"/>
    <mergeCell ref="B7:B8"/>
    <mergeCell ref="C7:C8"/>
    <mergeCell ref="D7:D8"/>
    <mergeCell ref="E7:E8"/>
    <mergeCell ref="J9:J10"/>
    <mergeCell ref="K9:K10"/>
    <mergeCell ref="L9:L10"/>
    <mergeCell ref="M9:M10"/>
    <mergeCell ref="Z7:Z8"/>
    <mergeCell ref="M7:M8"/>
    <mergeCell ref="N7:N8"/>
    <mergeCell ref="O7:O8"/>
    <mergeCell ref="P7:P8"/>
    <mergeCell ref="Q7:Q8"/>
    <mergeCell ref="R7:R8"/>
    <mergeCell ref="L7:L8"/>
    <mergeCell ref="K7:K8"/>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I9:I10"/>
    <mergeCell ref="AI7:AI8"/>
    <mergeCell ref="S7:X7"/>
    <mergeCell ref="Y7:Y8"/>
    <mergeCell ref="M11:M12"/>
    <mergeCell ref="N11:N12"/>
    <mergeCell ref="N9:N10"/>
    <mergeCell ref="AA7:AA8"/>
    <mergeCell ref="AB7:AB8"/>
    <mergeCell ref="AC7:AC8"/>
    <mergeCell ref="B13:AK13"/>
    <mergeCell ref="L11:L12"/>
    <mergeCell ref="A11:A12"/>
    <mergeCell ref="B11:B12"/>
    <mergeCell ref="C11:C12"/>
    <mergeCell ref="D11:D12"/>
    <mergeCell ref="E11:E12"/>
    <mergeCell ref="F11:F12"/>
    <mergeCell ref="G11:G12"/>
    <mergeCell ref="H11:H12"/>
    <mergeCell ref="I11:I12"/>
    <mergeCell ref="J11:J12"/>
    <mergeCell ref="K11:K12"/>
  </mergeCells>
  <conditionalFormatting sqref="H9">
    <cfRule type="cellIs" dxfId="508" priority="115" operator="equal">
      <formula>"Muy Baja"</formula>
    </cfRule>
    <cfRule type="cellIs" dxfId="507" priority="111" operator="equal">
      <formula>"Muy Alta"</formula>
    </cfRule>
    <cfRule type="cellIs" dxfId="506" priority="112" operator="equal">
      <formula>"Alta"</formula>
    </cfRule>
    <cfRule type="cellIs" dxfId="505" priority="113" operator="equal">
      <formula>"Media"</formula>
    </cfRule>
    <cfRule type="cellIs" dxfId="504" priority="114" operator="equal">
      <formula>"Baja"</formula>
    </cfRule>
  </conditionalFormatting>
  <conditionalFormatting sqref="H11">
    <cfRule type="cellIs" dxfId="503" priority="1" operator="equal">
      <formula>"Muy Alta"</formula>
    </cfRule>
    <cfRule type="cellIs" dxfId="502" priority="2" operator="equal">
      <formula>"Alta"</formula>
    </cfRule>
    <cfRule type="cellIs" dxfId="501" priority="3" operator="equal">
      <formula>"Media"</formula>
    </cfRule>
    <cfRule type="cellIs" dxfId="500" priority="4" operator="equal">
      <formula>"Baja"</formula>
    </cfRule>
    <cfRule type="cellIs" dxfId="499" priority="5" operator="equal">
      <formula>"Muy Baja"</formula>
    </cfRule>
  </conditionalFormatting>
  <conditionalFormatting sqref="K9:K12">
    <cfRule type="containsText" dxfId="498" priority="20" operator="containsText" text="❌">
      <formula>NOT(ISERROR(SEARCH("❌",K9)))</formula>
    </cfRule>
  </conditionalFormatting>
  <conditionalFormatting sqref="L9">
    <cfRule type="cellIs" dxfId="497" priority="110" operator="equal">
      <formula>"Leve"</formula>
    </cfRule>
    <cfRule type="cellIs" dxfId="496" priority="109" operator="equal">
      <formula>"Menor"</formula>
    </cfRule>
    <cfRule type="cellIs" dxfId="495" priority="108" operator="equal">
      <formula>"Moderado"</formula>
    </cfRule>
    <cfRule type="cellIs" dxfId="494" priority="107" operator="equal">
      <formula>"Mayor"</formula>
    </cfRule>
    <cfRule type="cellIs" dxfId="493" priority="106" operator="equal">
      <formula>"Catastrófico"</formula>
    </cfRule>
  </conditionalFormatting>
  <conditionalFormatting sqref="L11">
    <cfRule type="cellIs" dxfId="492" priority="29" operator="equal">
      <formula>"Leve"</formula>
    </cfRule>
    <cfRule type="cellIs" dxfId="491" priority="28" operator="equal">
      <formula>"Menor"</formula>
    </cfRule>
    <cfRule type="cellIs" dxfId="490" priority="27" operator="equal">
      <formula>"Moderado"</formula>
    </cfRule>
    <cfRule type="cellIs" dxfId="489" priority="26" operator="equal">
      <formula>"Mayor"</formula>
    </cfRule>
    <cfRule type="cellIs" dxfId="488" priority="25" operator="equal">
      <formula>"Catastrófico"</formula>
    </cfRule>
  </conditionalFormatting>
  <conditionalFormatting sqref="N9">
    <cfRule type="cellIs" dxfId="487" priority="104" operator="equal">
      <formula>"Moderado"</formula>
    </cfRule>
    <cfRule type="cellIs" dxfId="486" priority="103" operator="equal">
      <formula>"Alto"</formula>
    </cfRule>
    <cfRule type="cellIs" dxfId="485" priority="102" operator="equal">
      <formula>"Extremo"</formula>
    </cfRule>
    <cfRule type="cellIs" dxfId="484" priority="105" operator="equal">
      <formula>"Bajo"</formula>
    </cfRule>
  </conditionalFormatting>
  <conditionalFormatting sqref="N11">
    <cfRule type="cellIs" dxfId="483" priority="22" operator="equal">
      <formula>"Alto"</formula>
    </cfRule>
    <cfRule type="cellIs" dxfId="482" priority="23" operator="equal">
      <formula>"Moderado"</formula>
    </cfRule>
    <cfRule type="cellIs" dxfId="481" priority="24" operator="equal">
      <formula>"Bajo"</formula>
    </cfRule>
    <cfRule type="cellIs" dxfId="480" priority="21" operator="equal">
      <formula>"Extremo"</formula>
    </cfRule>
  </conditionalFormatting>
  <conditionalFormatting sqref="Z9:Z12">
    <cfRule type="cellIs" dxfId="479" priority="19" operator="equal">
      <formula>"Muy Baja"</formula>
    </cfRule>
    <cfRule type="cellIs" dxfId="478" priority="18" operator="equal">
      <formula>"Baja"</formula>
    </cfRule>
    <cfRule type="cellIs" dxfId="477" priority="17" operator="equal">
      <formula>"Media"</formula>
    </cfRule>
    <cfRule type="cellIs" dxfId="476" priority="16" operator="equal">
      <formula>"Alta"</formula>
    </cfRule>
    <cfRule type="cellIs" dxfId="475" priority="15" operator="equal">
      <formula>"Muy Alta"</formula>
    </cfRule>
  </conditionalFormatting>
  <conditionalFormatting sqref="AB9:AB12">
    <cfRule type="cellIs" dxfId="474" priority="14" operator="equal">
      <formula>"Leve"</formula>
    </cfRule>
    <cfRule type="cellIs" dxfId="473" priority="13" operator="equal">
      <formula>"Menor"</formula>
    </cfRule>
    <cfRule type="cellIs" dxfId="472" priority="12" operator="equal">
      <formula>"Moderado"</formula>
    </cfRule>
    <cfRule type="cellIs" dxfId="471" priority="10" operator="equal">
      <formula>"Catastrófico"</formula>
    </cfRule>
    <cfRule type="cellIs" dxfId="470" priority="11" operator="equal">
      <formula>"Mayor"</formula>
    </cfRule>
  </conditionalFormatting>
  <conditionalFormatting sqref="AD9:AD12">
    <cfRule type="cellIs" dxfId="469" priority="6" operator="equal">
      <formula>"Extremo"</formula>
    </cfRule>
    <cfRule type="cellIs" dxfId="468" priority="9" operator="equal">
      <formula>"Bajo"</formula>
    </cfRule>
    <cfRule type="cellIs" dxfId="467" priority="8" operator="equal">
      <formula>"Moderado"</formula>
    </cfRule>
    <cfRule type="cellIs" dxfId="466" priority="7" operator="equal">
      <formula>"Alto"</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6442-E8B0-4772-8D78-2CA6EA84ADA5}">
  <sheetPr>
    <tabColor theme="7" tint="0.39997558519241921"/>
  </sheetPr>
  <dimension ref="A1:AK14"/>
  <sheetViews>
    <sheetView topLeftCell="A11" zoomScale="80" zoomScaleNormal="80" workbookViewId="0">
      <selection activeCell="F11" sqref="F11:F12"/>
    </sheetView>
  </sheetViews>
  <sheetFormatPr baseColWidth="10" defaultRowHeight="15"/>
  <cols>
    <col min="5" max="5" width="56.140625" customWidth="1"/>
    <col min="6" max="6" width="15.7109375" customWidth="1"/>
    <col min="16" max="16" width="37.5703125"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t="s">
        <v>239</v>
      </c>
      <c r="D5" s="255"/>
      <c r="E5" s="255"/>
      <c r="F5" s="255"/>
      <c r="G5" s="255"/>
      <c r="H5" s="256" t="s">
        <v>7</v>
      </c>
      <c r="I5" s="256"/>
      <c r="J5" s="255" t="s">
        <v>240</v>
      </c>
      <c r="K5" s="255"/>
      <c r="L5" s="255"/>
      <c r="M5" s="255"/>
      <c r="N5" s="255"/>
      <c r="O5" s="256" t="s">
        <v>9</v>
      </c>
      <c r="P5" s="256"/>
      <c r="Q5" s="406" t="s">
        <v>241</v>
      </c>
      <c r="R5" s="407"/>
      <c r="S5" s="407"/>
      <c r="T5" s="407"/>
      <c r="U5" s="407"/>
      <c r="V5" s="407"/>
      <c r="W5" s="407"/>
      <c r="X5" s="407"/>
      <c r="Y5" s="407"/>
      <c r="Z5" s="407"/>
      <c r="AA5" s="407"/>
      <c r="AB5" s="407"/>
      <c r="AC5" s="407"/>
      <c r="AD5" s="407"/>
      <c r="AE5" s="408"/>
      <c r="AF5" s="152" t="s">
        <v>11</v>
      </c>
      <c r="AG5" s="405" t="s">
        <v>242</v>
      </c>
      <c r="AH5" s="405"/>
      <c r="AI5" s="405"/>
      <c r="AJ5" s="405"/>
      <c r="AK5" s="405"/>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40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40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150">
      <c r="A9" s="231">
        <v>1</v>
      </c>
      <c r="B9" s="232" t="s">
        <v>52</v>
      </c>
      <c r="C9" s="402" t="s">
        <v>243</v>
      </c>
      <c r="D9" s="402" t="s">
        <v>244</v>
      </c>
      <c r="E9" s="403" t="s">
        <v>245</v>
      </c>
      <c r="F9" s="232" t="s">
        <v>56</v>
      </c>
      <c r="G9" s="232" t="s">
        <v>85</v>
      </c>
      <c r="H9" s="226" t="str">
        <f>IF(G9="","",IF('[12]Mapa final'!G9='[12]Tabla probabilidad'!$C$4,"MUY BAJA",IF('[12]Mapa final'!G9='[12]Tabla probabilidad'!$C$5,"BAJA",IF('[12]Mapa final'!G9='[12]Tabla probabilidad'!$C$6,"MEDIA",IF('[12]Mapa final'!G9='[12]Tabla probabilidad'!$C$7,"ALTA",IF('[12]Mapa final'!G9='[12]Tabla probabilidad'!$C$8,"MUY ALTA"))))))</f>
        <v>BAJA</v>
      </c>
      <c r="I9" s="225">
        <f>IF(H9="","",IF(H9="Muy Baja",0.2,IF(H9="Baja",0.4,IF(H9="Media",0.6,IF(H9="Alta",0.8,IF(H9="Muy Alta",1,))))))</f>
        <v>0.4</v>
      </c>
      <c r="J9" s="224" t="s">
        <v>182</v>
      </c>
      <c r="K9" s="225" t="str">
        <f>IF(J9="","",IF(NOT(ISERROR(MATCH(J9,'[12]Tabla Impacto'!$B$37:$B$39,0))),'[12]Tabla Impacto'!$F$37&amp;"Por favor no seleccionar los criterios de impacto(Afectación Económica o presupuestal y Pérdida Reputacional)",J9))</f>
        <v xml:space="preserve">     Entre 50 y 100 SMLMV </v>
      </c>
      <c r="L9" s="226" t="str">
        <f>IF(OR(J9='[12]Tabla Impacto'!$F$25,J9='[12]Tabla Impacto'!$F$31),"Leve",IF(OR(J9='[12]Tabla Impacto'!$F$26,J9='[12]Tabla Impacto'!$F$32),"Menor",IF(OR(J9='[12]Tabla Impacto'!$F$27,J9='[12]Tabla Impacto'!$F$33,J9='[12]Tabla Impacto'!$F$37),"Moderado",IF(OR(J9='[12]Tabla Impacto'!$F$28,J9='[12]Tabla Impacto'!$F$34,J9='[12]Tabla Impacto'!$F$38),"Mayor",IF(OR(J9='[12]Tabla Impacto'!$F$29,J9='[12]Tabla Impacto'!$F$35,J9='[12]Tabla Impacto'!$F$39),"Catastrófico","")))))</f>
        <v>Moderado</v>
      </c>
      <c r="M9" s="225">
        <f>IF(L9="","",IF(L9="Leve",0.2,IF(L9="Menor",0.4,IF(L9="Moderado",0.6,IF(L9="Mayor",0.8,IF(L9="Catastrófico",1,))))))</f>
        <v>0.6</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246</v>
      </c>
      <c r="Q9" s="24" t="s">
        <v>247</v>
      </c>
      <c r="R9" s="23" t="str">
        <f t="shared" ref="R9:R12" si="0">IF(OR(S9="Preventivo",S9="Detectivo"),"Probabilidad",IF(S9="Correctivo","Impacto",""))</f>
        <v>Probabilidad</v>
      </c>
      <c r="S9" s="96" t="s">
        <v>61</v>
      </c>
      <c r="T9" s="96" t="s">
        <v>62</v>
      </c>
      <c r="U9" s="25" t="str">
        <f>IF(AND(S9="Preventivo",T9="Automático"),"50%",IF(AND(S9="Preventivo",T9="Manual"),"40%",IF(AND(S9="Detectivo",T9="Automático"),"40%",IF(AND(S9="Detectivo",T9="Manual"),"30%",IF(AND(S9="Correctivo",T9="Automático"),"35%",IF(AND(S9="Correctivo",T9="Manual"),"25%",""))))))</f>
        <v>40%</v>
      </c>
      <c r="V9" s="96" t="s">
        <v>70</v>
      </c>
      <c r="W9" s="96" t="s">
        <v>64</v>
      </c>
      <c r="X9" s="96" t="s">
        <v>65</v>
      </c>
      <c r="Y9" s="26">
        <f>IFERROR(IF(R9="Probabilidad",(I9-(+I9*U9)),IF(R9="Impacto",I9,"")),"")</f>
        <v>0.24</v>
      </c>
      <c r="Z9" s="97" t="str">
        <f>IFERROR(IF(Y9="","",IF(Y9&lt;=0.2,"Muy Baja",IF(Y9&lt;=0.4,"Baja",IF(Y9&lt;=0.6,"Media",IF(Y9&lt;=0.8,"Alta","Muy Alta"))))),"")</f>
        <v>Baja</v>
      </c>
      <c r="AA9" s="25">
        <f>+Y9</f>
        <v>0.24</v>
      </c>
      <c r="AB9" s="97" t="str">
        <f>IFERROR(IF(AC9="","",IF(AC9&lt;=0.2,"Leve",IF(AC9&lt;=0.4,"Menor",IF(AC9&lt;=0.6,"Moderado",IF(AC9&lt;=0.8,"Mayor","Catastrófico"))))),"")</f>
        <v>Moderado</v>
      </c>
      <c r="AC9" s="25">
        <f>IFERROR(IF(R9="Impacto",(M9-(+M9*U9)),IF(R9="Probabilidad",M9,"")),"")</f>
        <v>0.6</v>
      </c>
      <c r="AD9" s="9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96" t="s">
        <v>66</v>
      </c>
      <c r="AF9" s="95" t="s">
        <v>248</v>
      </c>
      <c r="AG9" s="95" t="s">
        <v>249</v>
      </c>
      <c r="AH9" s="27">
        <v>45292</v>
      </c>
      <c r="AI9" s="27">
        <v>45596</v>
      </c>
      <c r="AJ9" s="95" t="s">
        <v>250</v>
      </c>
      <c r="AK9" s="12" t="s">
        <v>226</v>
      </c>
    </row>
    <row r="10" spans="1:37" ht="285">
      <c r="A10" s="231"/>
      <c r="B10" s="232"/>
      <c r="C10" s="402"/>
      <c r="D10" s="402"/>
      <c r="E10" s="403"/>
      <c r="F10" s="232"/>
      <c r="G10" s="232"/>
      <c r="H10" s="226"/>
      <c r="I10" s="225"/>
      <c r="J10" s="224"/>
      <c r="K10" s="225">
        <f ca="1">IF(NOT(ISERROR(MATCH(J10,_xlfn.ANCHORARRAY(#REF!),0))),#REF!&amp;"Por favor no seleccionar los criterios de impacto",J10)</f>
        <v>0</v>
      </c>
      <c r="L10" s="226"/>
      <c r="M10" s="225"/>
      <c r="N10" s="227"/>
      <c r="O10" s="23">
        <v>2</v>
      </c>
      <c r="P10" s="99" t="s">
        <v>251</v>
      </c>
      <c r="Q10" s="99" t="s">
        <v>252</v>
      </c>
      <c r="R10" s="23" t="str">
        <f t="shared" si="0"/>
        <v>Impacto</v>
      </c>
      <c r="S10" s="96" t="s">
        <v>122</v>
      </c>
      <c r="T10" s="96" t="s">
        <v>62</v>
      </c>
      <c r="U10" s="25" t="str">
        <f t="shared" ref="U10" si="1">IF(AND(S10="Preventivo",T10="Automático"),"50%",IF(AND(S10="Preventivo",T10="Manual"),"40%",IF(AND(S10="Detectivo",T10="Automático"),"40%",IF(AND(S10="Detectivo",T10="Manual"),"30%",IF(AND(S10="Correctivo",T10="Automático"),"35%",IF(AND(S10="Correctivo",T10="Manual"),"25%",""))))))</f>
        <v>25%</v>
      </c>
      <c r="V10" s="96" t="s">
        <v>70</v>
      </c>
      <c r="W10" s="96" t="s">
        <v>64</v>
      </c>
      <c r="X10" s="96" t="s">
        <v>65</v>
      </c>
      <c r="Y10" s="26">
        <f t="shared" ref="Y10:Y12" si="2">IFERROR(IF(R10="Probabilidad",(I10-(+I10*U10)),IF(R10="Impacto",I10,"")),"")</f>
        <v>0</v>
      </c>
      <c r="Z10" s="97" t="str">
        <f t="shared" ref="Z10" si="3">IFERROR(IF(Y10="","",IF(Y10&lt;=0.2,"Muy Baja",IF(Y10&lt;=0.4,"Baja",IF(Y10&lt;=0.6,"Media",IF(Y10&lt;=0.8,"Alta","Muy Alta"))))),"")</f>
        <v>Muy Baja</v>
      </c>
      <c r="AA10" s="25">
        <f t="shared" ref="AA10" si="4">+Y10</f>
        <v>0</v>
      </c>
      <c r="AB10" s="97" t="str">
        <f t="shared" ref="AB10" si="5">IFERROR(IF(AC10="","",IF(AC10&lt;=0.2,"Leve",IF(AC10&lt;=0.4,"Menor",IF(AC10&lt;=0.6,"Moderado",IF(AC10&lt;=0.8,"Mayor","Catastrófico"))))),"")</f>
        <v>Leve</v>
      </c>
      <c r="AC10" s="25">
        <f t="shared" ref="AC10:AC12" si="6">IFERROR(IF(R10="Impacto",(M10-(+M10*U10)),IF(R10="Probabilidad",M10,"")),"")</f>
        <v>0</v>
      </c>
      <c r="AD10" s="97"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96" t="s">
        <v>66</v>
      </c>
      <c r="AF10" s="95" t="s">
        <v>248</v>
      </c>
      <c r="AG10" s="95" t="s">
        <v>253</v>
      </c>
      <c r="AH10" s="27">
        <v>45292</v>
      </c>
      <c r="AI10" s="27">
        <v>45596</v>
      </c>
      <c r="AJ10" s="95" t="s">
        <v>254</v>
      </c>
      <c r="AK10" s="12" t="s">
        <v>226</v>
      </c>
    </row>
    <row r="11" spans="1:37" ht="165">
      <c r="A11" s="231">
        <v>2</v>
      </c>
      <c r="B11" s="232" t="s">
        <v>52</v>
      </c>
      <c r="C11" s="402" t="s">
        <v>243</v>
      </c>
      <c r="D11" s="402" t="s">
        <v>244</v>
      </c>
      <c r="E11" s="403" t="s">
        <v>255</v>
      </c>
      <c r="F11" s="232" t="s">
        <v>56</v>
      </c>
      <c r="G11" s="232" t="s">
        <v>85</v>
      </c>
      <c r="H11" s="226" t="str">
        <f>IF(G11="","",IF('[12]Mapa final'!G11='[12]Tabla probabilidad'!$C$4,"MUY BAJA",IF('[12]Mapa final'!G11='[12]Tabla probabilidad'!$C$5,"BAJA",IF('[12]Mapa final'!G11='[12]Tabla probabilidad'!$C$6,"MEDIA",IF('[12]Mapa final'!G11='[12]Tabla probabilidad'!$C$7,"ALTA",IF('[12]Mapa final'!G11='[12]Tabla probabilidad'!$C$8,"MUY ALTA"))))))</f>
        <v>BAJA</v>
      </c>
      <c r="I11" s="225">
        <f t="shared" ref="I11" si="8">IF(H11="","",IF(H11="Muy Baja",0.2,IF(H11="Baja",0.4,IF(H11="Media",0.6,IF(H11="Alta",0.8,IF(H11="Muy Alta",1,))))))</f>
        <v>0.4</v>
      </c>
      <c r="J11" s="224" t="s">
        <v>182</v>
      </c>
      <c r="K11" s="225" t="str">
        <f>IF(J11="","",IF(NOT(ISERROR(MATCH(J11,'[12]Tabla Impacto'!$B$37:$B$39,0))),'[12]Tabla Impacto'!$F$37&amp;"Por favor no seleccionar los criterios de impacto(Afectación Económica o presupuestal y Pérdida Reputacional)",J11))</f>
        <v xml:space="preserve">     Entre 50 y 100 SMLMV </v>
      </c>
      <c r="L11" s="226" t="str">
        <f>IF(OR(J11='[12]Tabla Impacto'!$F$25,J11='[12]Tabla Impacto'!$F$31),"Leve",IF(OR(J11='[12]Tabla Impacto'!$F$26,J11='[12]Tabla Impacto'!$F$32),"Menor",IF(OR(J11='[12]Tabla Impacto'!$F$27,J11='[12]Tabla Impacto'!$F$33,J11='[12]Tabla Impacto'!$F$37),"Moderado",IF(OR(J11='[12]Tabla Impacto'!$F$28,J11='[12]Tabla Impacto'!$F$34,J11='[12]Tabla Impacto'!$F$38),"Mayor",IF(OR(J11='[12]Tabla Impacto'!$F$29,J11='[12]Tabla Impacto'!$F$35,J11='[12]Tabla Impacto'!$F$39),"Catastrófico","")))))</f>
        <v>Moderado</v>
      </c>
      <c r="M11" s="225">
        <f t="shared" ref="M11" si="9">IF(L11="","",IF(L11="Leve",0.2,IF(L11="Menor",0.4,IF(L11="Moderado",0.6,IF(L11="Mayor",0.8,IF(L11="Catastrófico",1,))))))</f>
        <v>0.6</v>
      </c>
      <c r="N11" s="227"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99" t="s">
        <v>256</v>
      </c>
      <c r="Q11" s="24" t="s">
        <v>247</v>
      </c>
      <c r="R11" s="23" t="str">
        <f t="shared" si="0"/>
        <v>Probabilidad</v>
      </c>
      <c r="S11" s="96" t="s">
        <v>61</v>
      </c>
      <c r="T11" s="96" t="s">
        <v>62</v>
      </c>
      <c r="U11" s="25" t="str">
        <f>IF(AND(S11="Preventivo",T11="Automático"),"50%",IF(AND(S11="Preventivo",T11="Manual"),"40%",IF(AND(S11="Detectivo",T11="Automático"),"40%",IF(AND(S11="Detectivo",T11="Manual"),"30%",IF(AND(S11="Correctivo",T11="Automático"),"35%",IF(AND(S11="Correctivo",T11="Manual"),"25%",""))))))</f>
        <v>40%</v>
      </c>
      <c r="V11" s="96" t="s">
        <v>70</v>
      </c>
      <c r="W11" s="96" t="s">
        <v>64</v>
      </c>
      <c r="X11" s="96" t="s">
        <v>65</v>
      </c>
      <c r="Y11" s="26">
        <f t="shared" si="2"/>
        <v>0.24</v>
      </c>
      <c r="Z11" s="19" t="str">
        <f>IFERROR(IF(Y11="","",IF(Y11&lt;=0.2,"Muy Baja",IF(Y11&lt;=0.4,"Baja",IF(Y11&lt;=0.6,"Media",IF(Y11&lt;=0.8,"Alta","Muy Alta"))))),"")</f>
        <v>Baja</v>
      </c>
      <c r="AA11" s="25">
        <f>+Y11</f>
        <v>0.24</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96" t="s">
        <v>257</v>
      </c>
      <c r="AF11" s="95" t="s">
        <v>248</v>
      </c>
      <c r="AG11" s="95" t="s">
        <v>258</v>
      </c>
      <c r="AH11" s="27">
        <v>45292</v>
      </c>
      <c r="AI11" s="27">
        <v>45596</v>
      </c>
      <c r="AJ11" s="95" t="s">
        <v>250</v>
      </c>
      <c r="AK11" s="12" t="s">
        <v>226</v>
      </c>
    </row>
    <row r="12" spans="1:37" ht="165">
      <c r="A12" s="231"/>
      <c r="B12" s="232"/>
      <c r="C12" s="402"/>
      <c r="D12" s="402"/>
      <c r="E12" s="403"/>
      <c r="F12" s="232"/>
      <c r="G12" s="232"/>
      <c r="H12" s="226"/>
      <c r="I12" s="225"/>
      <c r="J12" s="224"/>
      <c r="K12" s="225">
        <f ca="1">IF(NOT(ISERROR(MATCH(J12,_xlfn.ANCHORARRAY(#REF!),0))),#REF!&amp;"Por favor no seleccionar los criterios de impacto",J12)</f>
        <v>0</v>
      </c>
      <c r="L12" s="226"/>
      <c r="M12" s="225"/>
      <c r="N12" s="227"/>
      <c r="O12" s="23">
        <v>2</v>
      </c>
      <c r="P12" s="99" t="s">
        <v>259</v>
      </c>
      <c r="Q12" s="24" t="s">
        <v>247</v>
      </c>
      <c r="R12" s="23" t="str">
        <f t="shared" si="0"/>
        <v>Impacto</v>
      </c>
      <c r="S12" s="96" t="s">
        <v>122</v>
      </c>
      <c r="T12" s="96" t="s">
        <v>260</v>
      </c>
      <c r="U12" s="25" t="str">
        <f t="shared" ref="U12" si="11">IF(AND(S12="Preventivo",T12="Automático"),"50%",IF(AND(S12="Preventivo",T12="Manual"),"40%",IF(AND(S12="Detectivo",T12="Automático"),"40%",IF(AND(S12="Detectivo",T12="Manual"),"30%",IF(AND(S12="Correctivo",T12="Automático"),"35%",IF(AND(S12="Correctivo",T12="Manual"),"25%",""))))))</f>
        <v>35%</v>
      </c>
      <c r="V12" s="96" t="s">
        <v>70</v>
      </c>
      <c r="W12" s="96" t="s">
        <v>64</v>
      </c>
      <c r="X12" s="96" t="s">
        <v>65</v>
      </c>
      <c r="Y12" s="26">
        <f t="shared" si="2"/>
        <v>0</v>
      </c>
      <c r="Z12" s="97" t="str">
        <f t="shared" ref="Z12" si="12">IFERROR(IF(Y12="","",IF(Y12&lt;=0.2,"Muy Baja",IF(Y12&lt;=0.4,"Baja",IF(Y12&lt;=0.6,"Media",IF(Y12&lt;=0.8,"Alta","Muy Alta"))))),"")</f>
        <v>Muy Baja</v>
      </c>
      <c r="AA12" s="25">
        <f t="shared" ref="AA12" si="13">+Y12</f>
        <v>0</v>
      </c>
      <c r="AB12" s="19" t="str">
        <f t="shared" ref="AB12"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96" t="s">
        <v>257</v>
      </c>
      <c r="AF12" s="95" t="s">
        <v>248</v>
      </c>
      <c r="AG12" s="95" t="s">
        <v>258</v>
      </c>
      <c r="AH12" s="27">
        <v>45292</v>
      </c>
      <c r="AI12" s="27">
        <v>45596</v>
      </c>
      <c r="AJ12" s="95" t="s">
        <v>250</v>
      </c>
      <c r="AK12" s="12" t="s">
        <v>226</v>
      </c>
    </row>
    <row r="13" spans="1:37">
      <c r="A13" s="228" t="s">
        <v>97</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30"/>
    </row>
    <row r="14" spans="1:37">
      <c r="A14" s="28"/>
      <c r="B14" s="29" t="s">
        <v>98</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row>
  </sheetData>
  <mergeCells count="79">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F7:F8"/>
    <mergeCell ref="G7:G8"/>
    <mergeCell ref="H7:H8"/>
    <mergeCell ref="I7:I8"/>
    <mergeCell ref="J7:J8"/>
    <mergeCell ref="A7:A8"/>
    <mergeCell ref="B7:B8"/>
    <mergeCell ref="C7:C8"/>
    <mergeCell ref="D7:D8"/>
    <mergeCell ref="E7:E8"/>
    <mergeCell ref="J9:J10"/>
    <mergeCell ref="K9:K10"/>
    <mergeCell ref="L9:L10"/>
    <mergeCell ref="M9:M10"/>
    <mergeCell ref="Z7:Z8"/>
    <mergeCell ref="M7:M8"/>
    <mergeCell ref="N7:N8"/>
    <mergeCell ref="O7:O8"/>
    <mergeCell ref="P7:P8"/>
    <mergeCell ref="Q7:Q8"/>
    <mergeCell ref="R7:R8"/>
    <mergeCell ref="L7:L8"/>
    <mergeCell ref="K7:K8"/>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I9:I10"/>
    <mergeCell ref="AI7:AI8"/>
    <mergeCell ref="S7:X7"/>
    <mergeCell ref="Y7:Y8"/>
    <mergeCell ref="M11:M12"/>
    <mergeCell ref="N11:N12"/>
    <mergeCell ref="N9:N10"/>
    <mergeCell ref="AA7:AA8"/>
    <mergeCell ref="AB7:AB8"/>
    <mergeCell ref="AC7:AC8"/>
    <mergeCell ref="A13:AK13"/>
    <mergeCell ref="L11:L12"/>
    <mergeCell ref="A11:A12"/>
    <mergeCell ref="B11:B12"/>
    <mergeCell ref="C11:C12"/>
    <mergeCell ref="D11:D12"/>
    <mergeCell ref="E11:E12"/>
    <mergeCell ref="F11:F12"/>
    <mergeCell ref="G11:G12"/>
    <mergeCell ref="H11:H12"/>
    <mergeCell ref="I11:I12"/>
    <mergeCell ref="J11:J12"/>
    <mergeCell ref="K11:K12"/>
  </mergeCells>
  <conditionalFormatting sqref="H9 Z9:Z12 H11">
    <cfRule type="cellIs" dxfId="465" priority="137" operator="equal">
      <formula>"Muy Alta"</formula>
    </cfRule>
    <cfRule type="cellIs" dxfId="464" priority="138" operator="equal">
      <formula>"Alta"</formula>
    </cfRule>
    <cfRule type="cellIs" dxfId="463" priority="139" operator="equal">
      <formula>"Media"</formula>
    </cfRule>
    <cfRule type="cellIs" dxfId="462" priority="140" operator="equal">
      <formula>"Baja"</formula>
    </cfRule>
    <cfRule type="cellIs" dxfId="461" priority="141" operator="equal">
      <formula>"Muy Baja"</formula>
    </cfRule>
  </conditionalFormatting>
  <conditionalFormatting sqref="K9:K12">
    <cfRule type="containsText" dxfId="460" priority="1" operator="containsText" text="❌">
      <formula>NOT(ISERROR(SEARCH("❌",K9)))</formula>
    </cfRule>
  </conditionalFormatting>
  <conditionalFormatting sqref="L9 AB9:AB12 L11">
    <cfRule type="cellIs" dxfId="459" priority="132" operator="equal">
      <formula>"Catastrófico"</formula>
    </cfRule>
    <cfRule type="cellIs" dxfId="458" priority="133" operator="equal">
      <formula>"Mayor"</formula>
    </cfRule>
    <cfRule type="cellIs" dxfId="457" priority="134" operator="equal">
      <formula>"Moderado"</formula>
    </cfRule>
    <cfRule type="cellIs" dxfId="456" priority="135" operator="equal">
      <formula>"Menor"</formula>
    </cfRule>
    <cfRule type="cellIs" dxfId="455" priority="136" operator="equal">
      <formula>"Leve"</formula>
    </cfRule>
  </conditionalFormatting>
  <conditionalFormatting sqref="N9 AD9:AD12 N11">
    <cfRule type="cellIs" dxfId="454" priority="128" operator="equal">
      <formula>"Extremo"</formula>
    </cfRule>
    <cfRule type="cellIs" dxfId="453" priority="129" operator="equal">
      <formula>"Alto"</formula>
    </cfRule>
    <cfRule type="cellIs" dxfId="452" priority="130" operator="equal">
      <formula>"Moderado"</formula>
    </cfRule>
    <cfRule type="cellIs" dxfId="451" priority="131" operator="equal">
      <formula>"Bajo"</formula>
    </cfRule>
  </conditionalFormatting>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A461-C1B6-42AC-A95E-6C03878A3EFF}">
  <sheetPr>
    <tabColor theme="7"/>
  </sheetPr>
  <dimension ref="A1:AK30"/>
  <sheetViews>
    <sheetView topLeftCell="A12" workbookViewId="0">
      <selection activeCell="F14" sqref="F14"/>
    </sheetView>
  </sheetViews>
  <sheetFormatPr baseColWidth="10" defaultRowHeight="15"/>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c r="A5" s="411" t="s">
        <v>5</v>
      </c>
      <c r="B5" s="411"/>
      <c r="C5" s="412" t="s">
        <v>569</v>
      </c>
      <c r="D5" s="412"/>
      <c r="E5" s="412"/>
      <c r="F5" s="412"/>
      <c r="G5" s="412"/>
      <c r="H5" s="411" t="s">
        <v>7</v>
      </c>
      <c r="I5" s="411"/>
      <c r="J5" s="412" t="s">
        <v>570</v>
      </c>
      <c r="K5" s="412"/>
      <c r="L5" s="412"/>
      <c r="M5" s="412"/>
      <c r="N5" s="412"/>
      <c r="O5" s="411" t="s">
        <v>9</v>
      </c>
      <c r="P5" s="411"/>
      <c r="Q5" s="413" t="s">
        <v>571</v>
      </c>
      <c r="R5" s="414"/>
      <c r="S5" s="414"/>
      <c r="T5" s="414"/>
      <c r="U5" s="414"/>
      <c r="V5" s="414"/>
      <c r="W5" s="414"/>
      <c r="X5" s="414"/>
      <c r="Y5" s="414"/>
      <c r="Z5" s="414"/>
      <c r="AA5" s="414"/>
      <c r="AB5" s="414"/>
      <c r="AC5" s="414"/>
      <c r="AD5" s="414"/>
      <c r="AE5" s="415"/>
      <c r="AF5" s="185" t="s">
        <v>11</v>
      </c>
      <c r="AG5" s="409" t="s">
        <v>572</v>
      </c>
      <c r="AH5" s="410"/>
      <c r="AI5" s="410"/>
      <c r="AJ5" s="410"/>
      <c r="AK5" s="410"/>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ht="15" customHeight="1">
      <c r="A7" s="416" t="s">
        <v>18</v>
      </c>
      <c r="B7" s="245" t="s">
        <v>19</v>
      </c>
      <c r="C7" s="246" t="s">
        <v>20</v>
      </c>
      <c r="D7" s="246" t="s">
        <v>21</v>
      </c>
      <c r="E7" s="245"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2.5">
      <c r="A8" s="416"/>
      <c r="B8" s="245"/>
      <c r="C8" s="246"/>
      <c r="D8" s="246"/>
      <c r="E8" s="245"/>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409.5">
      <c r="A9" s="23">
        <v>1</v>
      </c>
      <c r="B9" s="18" t="s">
        <v>52</v>
      </c>
      <c r="C9" s="18" t="s">
        <v>573</v>
      </c>
      <c r="D9" s="18" t="s">
        <v>574</v>
      </c>
      <c r="E9" s="186" t="s">
        <v>575</v>
      </c>
      <c r="F9" s="187" t="s">
        <v>56</v>
      </c>
      <c r="G9" s="187" t="s">
        <v>57</v>
      </c>
      <c r="H9" s="19" t="str">
        <f>IF(G9="","",IF('[13]Mapa final'!G9='[13]Tabla probabilidad'!$C$4,"MUY BAJA",IF('[13]Mapa final'!G9='[13]Tabla probabilidad'!$C$5,"BAJA",IF('[13]Mapa final'!G9='[13]Tabla probabilidad'!$C$6,"MEDIA",IF('[13]Mapa final'!G9='[13]Tabla probabilidad'!$C$7,"ALTA",IF('[13]Mapa final'!G9='[13]Tabla probabilidad'!$C$8,"MUY ALTA"))))))</f>
        <v>MEDIA</v>
      </c>
      <c r="I9" s="20">
        <f>IF(H9="","",IF(H9="Muy Baja",0.2,IF(H9="Baja",0.4,IF(H9="Media",0.6,IF(H9="Alta",0.8,IF(H9="Muy Alta",1,))))))</f>
        <v>0.6</v>
      </c>
      <c r="J9" s="188" t="s">
        <v>77</v>
      </c>
      <c r="K9" s="189" t="str">
        <f>IF(J9="","",IF(NOT(ISERROR(MATCH(J9,'[13]Tabla Impacto'!$B$37:$B$39,0))),'[13]Tabla Impacto'!$F$37&amp;"Por favor no seleccionar los criterios de impacto(Afectación Económica o presupuestal y Pérdida Reputacional)",J9))</f>
        <v xml:space="preserve">     El riesgo afecta la imagen de la entidad con algunos usuarios de relevancia frente al logro de los objetivos</v>
      </c>
      <c r="L9" s="19" t="str">
        <f>IF(OR(J9='[13]Tabla Impacto'!$F$25,J9='[13]Tabla Impacto'!$F$31),"Leve",IF(OR(J9='[13]Tabla Impacto'!$F$26,J9='[13]Tabla Impacto'!$F$32),"Menor",IF(OR(J9='[13]Tabla Impacto'!$F$27,J9='[13]Tabla Impacto'!$F$33,J9='[13]Tabla Impacto'!$F$37),"Moderado",IF(OR(J9='[13]Tabla Impacto'!$F$28,J9='[13]Tabla Impacto'!$F$34,J9='[13]Tabla Impacto'!$F$38),"Mayor",IF(OR(J9='[13]Tabla Impacto'!$F$29,J9='[13]Tabla Impacto'!$F$35,J9='[13]Tabla Impacto'!$F$39),"Catastrófico","")))))</f>
        <v>Moderado</v>
      </c>
      <c r="M9" s="20">
        <f>IF(L9="","",IF(L9="Leve",0.2,IF(L9="Menor",0.4,IF(L9="Moderado",0.6,IF(L9="Mayor",0.8,IF(L9="Catastrófico",1,))))))</f>
        <v>0.6</v>
      </c>
      <c r="N9" s="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190" t="s">
        <v>576</v>
      </c>
      <c r="Q9" s="30" t="s">
        <v>577</v>
      </c>
      <c r="R9" s="23" t="str">
        <f t="shared" ref="R9:R14" si="0">IF(OR(S9="Preventivo",S9="Detectivo"),"Probabilidad",IF(S9="Correctivo","Impacto",""))</f>
        <v>Probabilidad</v>
      </c>
      <c r="S9" s="12" t="s">
        <v>61</v>
      </c>
      <c r="T9" s="12" t="s">
        <v>62</v>
      </c>
      <c r="U9" s="25" t="str">
        <f t="shared" ref="U9:U14" si="1">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0.36</v>
      </c>
      <c r="Z9" s="19" t="str">
        <f t="shared" ref="Z9:Z14" si="2">IFERROR(IF(Y9="","",IF(Y9&lt;=0.2,"Muy Baja",IF(Y9&lt;=0.4,"Baja",IF(Y9&lt;=0.6,"Media",IF(Y9&lt;=0.8,"Alta","Muy Alta"))))),"")</f>
        <v>Baja</v>
      </c>
      <c r="AA9" s="25">
        <f t="shared" ref="AA9:AA14" si="3">+Y9</f>
        <v>0.36</v>
      </c>
      <c r="AB9" s="19" t="str">
        <f t="shared" ref="AB9:AB14" si="4">IFERROR(IF(AC9="","",IF(AC9&lt;=0.2,"Leve",IF(AC9&lt;=0.4,"Menor",IF(AC9&lt;=0.6,"Moderado",IF(AC9&lt;=0.8,"Mayor","Catastrófico"))))),"")</f>
        <v>Moderado</v>
      </c>
      <c r="AC9" s="25">
        <f>IFERROR(IF(R9="Impacto",(M9-(+M9*U9)),IF(R9="Probabilidad",M9,"")),"")</f>
        <v>0.6</v>
      </c>
      <c r="AD9" s="2" t="str">
        <f t="shared" ref="AD9:AD14" si="5">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c r="AF9" s="18"/>
      <c r="AG9" s="12"/>
      <c r="AH9" s="27"/>
      <c r="AI9" s="27"/>
      <c r="AJ9" s="18"/>
      <c r="AK9" s="12"/>
    </row>
    <row r="10" spans="1:37" ht="15" customHeight="1">
      <c r="A10" s="23">
        <v>2</v>
      </c>
      <c r="B10" s="18" t="s">
        <v>71</v>
      </c>
      <c r="C10" s="191" t="s">
        <v>578</v>
      </c>
      <c r="D10" s="18" t="s">
        <v>579</v>
      </c>
      <c r="E10" s="186" t="s">
        <v>580</v>
      </c>
      <c r="F10" s="187" t="s">
        <v>119</v>
      </c>
      <c r="G10" s="187" t="s">
        <v>57</v>
      </c>
      <c r="H10" s="19" t="str">
        <f>IF(G10="","",IF('[13]Mapa final'!G10='[13]Tabla probabilidad'!$C$4,"MUY BAJA",IF('[13]Mapa final'!G10='[13]Tabla probabilidad'!$C$5,"BAJA",IF('[13]Mapa final'!G10='[13]Tabla probabilidad'!$C$6,"MEDIA",IF('[13]Mapa final'!G10='[13]Tabla probabilidad'!$C$7,"ALTA",IF('[13]Mapa final'!G10='[13]Tabla probabilidad'!$C$8,"MUY ALTA"))))))</f>
        <v>MEDIA</v>
      </c>
      <c r="I10" s="20">
        <f t="shared" ref="I10:I14" si="6">IF(H10="","",IF(H10="Muy Baja",0.2,IF(H10="Baja",0.4,IF(H10="Media",0.6,IF(H10="Alta",0.8,IF(H10="Muy Alta",1,))))))</f>
        <v>0.6</v>
      </c>
      <c r="J10" s="188" t="s">
        <v>77</v>
      </c>
      <c r="K10" s="189" t="str">
        <f>IF(J10="","",IF(NOT(ISERROR(MATCH(J10,'[13]Tabla Impacto'!$B$37:$B$39,0))),'[13]Tabla Impacto'!$F$37&amp;"Por favor no seleccionar los criterios de impacto(Afectación Económica o presupuestal y Pérdida Reputacional)",J10))</f>
        <v xml:space="preserve">     El riesgo afecta la imagen de la entidad con algunos usuarios de relevancia frente al logro de los objetivos</v>
      </c>
      <c r="L10" s="19" t="str">
        <f>IF(OR(J10='[13]Tabla Impacto'!$F$25,J10='[13]Tabla Impacto'!$F$31),"Leve",IF(OR(J10='[13]Tabla Impacto'!$F$26,J10='[13]Tabla Impacto'!$F$32),"Menor",IF(OR(J10='[13]Tabla Impacto'!$F$27,J10='[13]Tabla Impacto'!$F$33,J10='[13]Tabla Impacto'!$F$37),"Moderado",IF(OR(J10='[13]Tabla Impacto'!$F$28,J10='[13]Tabla Impacto'!$F$34,J10='[13]Tabla Impacto'!$F$38),"Mayor",IF(OR(J10='[13]Tabla Impacto'!$F$29,J10='[13]Tabla Impacto'!$F$35,J10='[13]Tabla Impacto'!$F$39),"Catastrófico","")))))</f>
        <v>Moderado</v>
      </c>
      <c r="M10" s="20">
        <f t="shared" ref="M10:M14" si="7">IF(L10="","",IF(L10="Leve",0.2,IF(L10="Menor",0.4,IF(L10="Moderado",0.6,IF(L10="Mayor",0.8,IF(L10="Catastrófico",1,))))))</f>
        <v>0.6</v>
      </c>
      <c r="N10" s="2" t="str">
        <f t="shared" ref="N10:N14" si="8">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23">
        <v>1</v>
      </c>
      <c r="P10" s="190" t="s">
        <v>581</v>
      </c>
      <c r="Q10" s="30" t="s">
        <v>582</v>
      </c>
      <c r="R10" s="23" t="str">
        <f t="shared" si="0"/>
        <v>Probabilidad</v>
      </c>
      <c r="S10" s="12" t="s">
        <v>61</v>
      </c>
      <c r="T10" s="12" t="s">
        <v>62</v>
      </c>
      <c r="U10" s="25" t="str">
        <f t="shared" si="1"/>
        <v>40%</v>
      </c>
      <c r="V10" s="12" t="s">
        <v>70</v>
      </c>
      <c r="W10" s="12" t="s">
        <v>64</v>
      </c>
      <c r="X10" s="12" t="s">
        <v>65</v>
      </c>
      <c r="Y10" s="26">
        <f t="shared" ref="Y10:Y14" si="9">IFERROR(IF(R10="Probabilidad",(I10-(+I10*U10)),IF(R10="Impacto",I10,"")),"")</f>
        <v>0.36</v>
      </c>
      <c r="Z10" s="19" t="str">
        <f t="shared" si="2"/>
        <v>Baja</v>
      </c>
      <c r="AA10" s="25">
        <f t="shared" si="3"/>
        <v>0.36</v>
      </c>
      <c r="AB10" s="19" t="str">
        <f t="shared" si="4"/>
        <v>Moderado</v>
      </c>
      <c r="AC10" s="25">
        <f t="shared" ref="AC10:AC14" si="10">IFERROR(IF(R10="Impacto",(M10-(+M10*U10)),IF(R10="Probabilidad",M10,"")),"")</f>
        <v>0.6</v>
      </c>
      <c r="AD10" s="2" t="str">
        <f t="shared" si="5"/>
        <v>Moderado</v>
      </c>
      <c r="AE10" s="12"/>
      <c r="AF10" s="18"/>
      <c r="AG10" s="12"/>
      <c r="AH10" s="27"/>
      <c r="AI10" s="27"/>
      <c r="AJ10" s="18"/>
      <c r="AK10" s="12"/>
    </row>
    <row r="11" spans="1:37" ht="409.5">
      <c r="A11" s="23">
        <v>3</v>
      </c>
      <c r="B11" s="18" t="s">
        <v>71</v>
      </c>
      <c r="C11" s="184" t="s">
        <v>583</v>
      </c>
      <c r="D11" s="18" t="s">
        <v>584</v>
      </c>
      <c r="E11" s="186" t="s">
        <v>585</v>
      </c>
      <c r="F11" s="187" t="s">
        <v>56</v>
      </c>
      <c r="G11" s="187" t="s">
        <v>85</v>
      </c>
      <c r="H11" s="19" t="str">
        <f>IF(G11="","",IF('[13]Mapa final'!G11='[13]Tabla probabilidad'!$C$4,"MUY BAJA",IF('[13]Mapa final'!G11='[13]Tabla probabilidad'!$C$5,"BAJA",IF('[13]Mapa final'!G11='[13]Tabla probabilidad'!$C$6,"MEDIA",IF('[13]Mapa final'!G11='[13]Tabla probabilidad'!$C$7,"ALTA",IF('[13]Mapa final'!G11='[13]Tabla probabilidad'!$C$8,"MUY ALTA"))))))</f>
        <v>BAJA</v>
      </c>
      <c r="I11" s="20">
        <f t="shared" si="6"/>
        <v>0.4</v>
      </c>
      <c r="J11" s="188" t="s">
        <v>328</v>
      </c>
      <c r="K11" s="189" t="str">
        <f>IF(J11="","",IF(NOT(ISERROR(MATCH(J11,'[13]Tabla Impacto'!$B$37:$B$39,0))),'[13]Tabla Impacto'!$F$37&amp;"Por favor no seleccionar los criterios de impacto(Afectación Económica o presupuestal y Pérdida Reputacional)",J11))</f>
        <v xml:space="preserve">     El riesgo afecta la imagen de alguna área de la organización</v>
      </c>
      <c r="L11" s="19" t="str">
        <f>IF(OR(J11='[13]Tabla Impacto'!$F$25,J11='[13]Tabla Impacto'!$F$31),"Leve",IF(OR(J11='[13]Tabla Impacto'!$F$26,J11='[13]Tabla Impacto'!$F$32),"Menor",IF(OR(J11='[13]Tabla Impacto'!$F$27,J11='[13]Tabla Impacto'!$F$33,J11='[13]Tabla Impacto'!$F$37),"Moderado",IF(OR(J11='[13]Tabla Impacto'!$F$28,J11='[13]Tabla Impacto'!$F$34,J11='[13]Tabla Impacto'!$F$38),"Mayor",IF(OR(J11='[13]Tabla Impacto'!$F$29,J11='[13]Tabla Impacto'!$F$35,J11='[13]Tabla Impacto'!$F$39),"Catastrófico","")))))</f>
        <v>Leve</v>
      </c>
      <c r="M11" s="20">
        <f t="shared" si="7"/>
        <v>0.2</v>
      </c>
      <c r="N11" s="2" t="str">
        <f t="shared" si="8"/>
        <v>Bajo</v>
      </c>
      <c r="O11" s="23">
        <v>1</v>
      </c>
      <c r="P11" s="190" t="s">
        <v>586</v>
      </c>
      <c r="Q11" s="102" t="s">
        <v>587</v>
      </c>
      <c r="R11" s="23" t="str">
        <f t="shared" si="0"/>
        <v>Probabilidad</v>
      </c>
      <c r="S11" s="12" t="s">
        <v>61</v>
      </c>
      <c r="T11" s="12" t="s">
        <v>62</v>
      </c>
      <c r="U11" s="25" t="str">
        <f t="shared" si="1"/>
        <v>40%</v>
      </c>
      <c r="V11" s="12" t="s">
        <v>70</v>
      </c>
      <c r="W11" s="12" t="s">
        <v>64</v>
      </c>
      <c r="X11" s="12" t="s">
        <v>65</v>
      </c>
      <c r="Y11" s="26">
        <f t="shared" si="9"/>
        <v>0.24</v>
      </c>
      <c r="Z11" s="19" t="str">
        <f t="shared" si="2"/>
        <v>Baja</v>
      </c>
      <c r="AA11" s="25">
        <f t="shared" si="3"/>
        <v>0.24</v>
      </c>
      <c r="AB11" s="19" t="str">
        <f t="shared" si="4"/>
        <v>Leve</v>
      </c>
      <c r="AC11" s="25">
        <f t="shared" si="10"/>
        <v>0.2</v>
      </c>
      <c r="AD11" s="2" t="str">
        <f t="shared" si="5"/>
        <v>Bajo</v>
      </c>
      <c r="AE11" s="12"/>
      <c r="AF11" s="18"/>
      <c r="AG11" s="12"/>
      <c r="AH11" s="27"/>
      <c r="AI11" s="27"/>
      <c r="AJ11" s="18"/>
      <c r="AK11" s="12"/>
    </row>
    <row r="12" spans="1:37" ht="15" customHeight="1">
      <c r="A12" s="23">
        <v>4</v>
      </c>
      <c r="B12" s="18" t="s">
        <v>71</v>
      </c>
      <c r="C12" s="18" t="s">
        <v>588</v>
      </c>
      <c r="D12" s="40" t="s">
        <v>589</v>
      </c>
      <c r="E12" s="186" t="s">
        <v>590</v>
      </c>
      <c r="F12" s="187" t="s">
        <v>406</v>
      </c>
      <c r="G12" s="187" t="s">
        <v>57</v>
      </c>
      <c r="H12" s="19" t="str">
        <f>IF(G12="","",IF('[13]Mapa final'!G12='[13]Tabla probabilidad'!$C$4,"MUY BAJA",IF('[13]Mapa final'!G12='[13]Tabla probabilidad'!$C$5,"BAJA",IF('[13]Mapa final'!G12='[13]Tabla probabilidad'!$C$6,"MEDIA",IF('[13]Mapa final'!G12='[13]Tabla probabilidad'!$C$7,"ALTA",IF('[13]Mapa final'!G12='[13]Tabla probabilidad'!$C$8,"MUY ALTA"))))))</f>
        <v>MEDIA</v>
      </c>
      <c r="I12" s="20">
        <f t="shared" si="6"/>
        <v>0.6</v>
      </c>
      <c r="J12" s="188" t="s">
        <v>328</v>
      </c>
      <c r="K12" s="189" t="str">
        <f>IF(J12="","",IF(NOT(ISERROR(MATCH(J12,'[13]Tabla Impacto'!$B$37:$B$39,0))),'[13]Tabla Impacto'!$F$37&amp;"Por favor no seleccionar los criterios de impacto(Afectación Económica o presupuestal y Pérdida Reputacional)",J12))</f>
        <v xml:space="preserve">     El riesgo afecta la imagen de alguna área de la organización</v>
      </c>
      <c r="L12" s="19" t="str">
        <f>IF(OR(J12='[13]Tabla Impacto'!$F$25,J12='[13]Tabla Impacto'!$F$31),"Leve",IF(OR(J12='[13]Tabla Impacto'!$F$26,J12='[13]Tabla Impacto'!$F$32),"Menor",IF(OR(J12='[13]Tabla Impacto'!$F$27,J12='[13]Tabla Impacto'!$F$33,J12='[13]Tabla Impacto'!$F$37),"Moderado",IF(OR(J12='[13]Tabla Impacto'!$F$28,J12='[13]Tabla Impacto'!$F$34,J12='[13]Tabla Impacto'!$F$38),"Mayor",IF(OR(J12='[13]Tabla Impacto'!$F$29,J12='[13]Tabla Impacto'!$F$35,J12='[13]Tabla Impacto'!$F$39),"Catastrófico","")))))</f>
        <v>Leve</v>
      </c>
      <c r="M12" s="20">
        <f t="shared" si="7"/>
        <v>0.2</v>
      </c>
      <c r="N12" s="2" t="str">
        <f t="shared" si="8"/>
        <v>Moderado</v>
      </c>
      <c r="O12" s="23">
        <v>1</v>
      </c>
      <c r="P12" s="190" t="s">
        <v>591</v>
      </c>
      <c r="Q12" s="102" t="s">
        <v>592</v>
      </c>
      <c r="R12" s="23" t="str">
        <f t="shared" si="0"/>
        <v>Probabilidad</v>
      </c>
      <c r="S12" s="12" t="s">
        <v>61</v>
      </c>
      <c r="T12" s="12" t="s">
        <v>62</v>
      </c>
      <c r="U12" s="25" t="str">
        <f t="shared" si="1"/>
        <v>40%</v>
      </c>
      <c r="V12" s="12" t="s">
        <v>70</v>
      </c>
      <c r="W12" s="12" t="s">
        <v>64</v>
      </c>
      <c r="X12" s="12" t="s">
        <v>65</v>
      </c>
      <c r="Y12" s="26">
        <f t="shared" si="9"/>
        <v>0.36</v>
      </c>
      <c r="Z12" s="19" t="str">
        <f t="shared" si="2"/>
        <v>Baja</v>
      </c>
      <c r="AA12" s="25">
        <f t="shared" si="3"/>
        <v>0.36</v>
      </c>
      <c r="AB12" s="19" t="str">
        <f t="shared" si="4"/>
        <v>Leve</v>
      </c>
      <c r="AC12" s="25">
        <f t="shared" si="10"/>
        <v>0.2</v>
      </c>
      <c r="AD12" s="2" t="str">
        <f t="shared" si="5"/>
        <v>Bajo</v>
      </c>
      <c r="AE12" s="12"/>
      <c r="AF12" s="18"/>
      <c r="AG12" s="12"/>
      <c r="AH12" s="27"/>
      <c r="AI12" s="27"/>
      <c r="AJ12" s="18"/>
      <c r="AK12" s="12"/>
    </row>
    <row r="13" spans="1:37" ht="15" customHeight="1">
      <c r="A13" s="23">
        <v>5</v>
      </c>
      <c r="B13" s="18" t="s">
        <v>71</v>
      </c>
      <c r="C13" s="18" t="s">
        <v>593</v>
      </c>
      <c r="D13" s="18" t="s">
        <v>594</v>
      </c>
      <c r="E13" s="186" t="s">
        <v>595</v>
      </c>
      <c r="F13" s="187" t="s">
        <v>56</v>
      </c>
      <c r="G13" s="187" t="s">
        <v>85</v>
      </c>
      <c r="H13" s="19" t="str">
        <f>IF(G13="","",IF('[13]Mapa final'!G13='[13]Tabla probabilidad'!$C$4,"MUY BAJA",IF('[13]Mapa final'!G13='[13]Tabla probabilidad'!$C$5,"BAJA",IF('[13]Mapa final'!G13='[13]Tabla probabilidad'!$C$6,"MEDIA",IF('[13]Mapa final'!G13='[13]Tabla probabilidad'!$C$7,"ALTA",IF('[13]Mapa final'!G13='[13]Tabla probabilidad'!$C$8,"MUY ALTA"))))))</f>
        <v>BAJA</v>
      </c>
      <c r="I13" s="20">
        <f t="shared" si="6"/>
        <v>0.4</v>
      </c>
      <c r="J13" s="188" t="s">
        <v>398</v>
      </c>
      <c r="K13" s="189" t="str">
        <f>IF(J13="","",IF(NOT(ISERROR(MATCH(J13,'[13]Tabla Impacto'!$B$37:$B$39,0))),'[13]Tabla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19" t="str">
        <f>IF(OR(J13='[13]Tabla Impacto'!$F$25,J13='[13]Tabla Impacto'!$F$31),"Leve",IF(OR(J13='[13]Tabla Impacto'!$F$26,J13='[13]Tabla Impacto'!$F$32),"Menor",IF(OR(J13='[13]Tabla Impacto'!$F$27,J13='[13]Tabla Impacto'!$F$33,J13='[13]Tabla Impacto'!$F$37),"Moderado",IF(OR(J13='[13]Tabla Impacto'!$F$28,J13='[13]Tabla Impacto'!$F$34,J13='[13]Tabla Impacto'!$F$38),"Mayor",IF(OR(J13='[13]Tabla Impacto'!$F$29,J13='[13]Tabla Impacto'!$F$35,J13='[13]Tabla Impacto'!$F$39),"Catastrófico","")))))</f>
        <v>Menor</v>
      </c>
      <c r="M13" s="20">
        <f t="shared" si="7"/>
        <v>0.4</v>
      </c>
      <c r="N13" s="2" t="str">
        <f t="shared" si="8"/>
        <v>Moderado</v>
      </c>
      <c r="O13" s="23">
        <v>1</v>
      </c>
      <c r="P13" s="190" t="s">
        <v>586</v>
      </c>
      <c r="Q13" s="102" t="s">
        <v>596</v>
      </c>
      <c r="R13" s="23" t="str">
        <f t="shared" si="0"/>
        <v>Probabilidad</v>
      </c>
      <c r="S13" s="12" t="s">
        <v>61</v>
      </c>
      <c r="T13" s="12" t="s">
        <v>62</v>
      </c>
      <c r="U13" s="25" t="str">
        <f t="shared" si="1"/>
        <v>40%</v>
      </c>
      <c r="V13" s="12" t="s">
        <v>70</v>
      </c>
      <c r="W13" s="12" t="s">
        <v>64</v>
      </c>
      <c r="X13" s="12" t="s">
        <v>65</v>
      </c>
      <c r="Y13" s="26">
        <f t="shared" si="9"/>
        <v>0.24</v>
      </c>
      <c r="Z13" s="19" t="str">
        <f t="shared" si="2"/>
        <v>Baja</v>
      </c>
      <c r="AA13" s="25">
        <f t="shared" si="3"/>
        <v>0.24</v>
      </c>
      <c r="AB13" s="19" t="str">
        <f t="shared" si="4"/>
        <v>Menor</v>
      </c>
      <c r="AC13" s="25">
        <f t="shared" si="10"/>
        <v>0.4</v>
      </c>
      <c r="AD13" s="2" t="str">
        <f t="shared" si="5"/>
        <v>Moderado</v>
      </c>
      <c r="AE13" s="12"/>
      <c r="AF13" s="18"/>
      <c r="AG13" s="12"/>
      <c r="AH13" s="27"/>
      <c r="AI13" s="27"/>
      <c r="AJ13" s="18"/>
      <c r="AK13" s="12"/>
    </row>
    <row r="14" spans="1:37" ht="15" customHeight="1">
      <c r="A14" s="23">
        <v>6</v>
      </c>
      <c r="B14" s="18" t="s">
        <v>52</v>
      </c>
      <c r="C14" s="18" t="s">
        <v>597</v>
      </c>
      <c r="D14" s="18" t="s">
        <v>598</v>
      </c>
      <c r="E14" s="186" t="s">
        <v>599</v>
      </c>
      <c r="F14" s="187" t="s">
        <v>56</v>
      </c>
      <c r="G14" s="187" t="s">
        <v>85</v>
      </c>
      <c r="H14" s="19" t="str">
        <f>IF(G14="","",IF('[13]Mapa final'!G14='[13]Tabla probabilidad'!$C$4,"MUY BAJA",IF('[13]Mapa final'!G14='[13]Tabla probabilidad'!$C$5,"BAJA",IF('[13]Mapa final'!G14='[13]Tabla probabilidad'!$C$6,"MEDIA",IF('[13]Mapa final'!G14='[13]Tabla probabilidad'!$C$7,"ALTA",IF('[13]Mapa final'!G14='[13]Tabla probabilidad'!$C$8,"MUY ALTA"))))))</f>
        <v>BAJA</v>
      </c>
      <c r="I14" s="20">
        <f t="shared" si="6"/>
        <v>0.4</v>
      </c>
      <c r="J14" s="188" t="s">
        <v>77</v>
      </c>
      <c r="K14" s="189" t="str">
        <f>IF(J14="","",IF(NOT(ISERROR(MATCH(J14,'[13]Tabla Impacto'!$B$37:$B$39,0))),'[13]Tabla Impacto'!$F$37&amp;"Por favor no seleccionar los criterios de impacto(Afectación Económica o presupuestal y Pérdida Reputacional)",J14))</f>
        <v xml:space="preserve">     El riesgo afecta la imagen de la entidad con algunos usuarios de relevancia frente al logro de los objetivos</v>
      </c>
      <c r="L14" s="19" t="str">
        <f>IF(OR(J14='[13]Tabla Impacto'!$F$25,J14='[13]Tabla Impacto'!$F$31),"Leve",IF(OR(J14='[13]Tabla Impacto'!$F$26,J14='[13]Tabla Impacto'!$F$32),"Menor",IF(OR(J14='[13]Tabla Impacto'!$F$27,J14='[13]Tabla Impacto'!$F$33,J14='[13]Tabla Impacto'!$F$37),"Moderado",IF(OR(J14='[13]Tabla Impacto'!$F$28,J14='[13]Tabla Impacto'!$F$34,J14='[13]Tabla Impacto'!$F$38),"Mayor",IF(OR(J14='[13]Tabla Impacto'!$F$29,J14='[13]Tabla Impacto'!$F$35,J14='[13]Tabla Impacto'!$F$39),"Catastrófico","")))))</f>
        <v>Moderado</v>
      </c>
      <c r="M14" s="20">
        <f t="shared" si="7"/>
        <v>0.6</v>
      </c>
      <c r="N14" s="2" t="str">
        <f t="shared" si="8"/>
        <v>Moderado</v>
      </c>
      <c r="O14" s="23">
        <v>1</v>
      </c>
      <c r="P14" s="190" t="s">
        <v>586</v>
      </c>
      <c r="Q14" s="102" t="s">
        <v>600</v>
      </c>
      <c r="R14" s="23" t="str">
        <f t="shared" si="0"/>
        <v>Probabilidad</v>
      </c>
      <c r="S14" s="12" t="s">
        <v>61</v>
      </c>
      <c r="T14" s="12" t="s">
        <v>62</v>
      </c>
      <c r="U14" s="25" t="str">
        <f t="shared" si="1"/>
        <v>40%</v>
      </c>
      <c r="V14" s="12" t="s">
        <v>70</v>
      </c>
      <c r="W14" s="12" t="s">
        <v>64</v>
      </c>
      <c r="X14" s="12" t="s">
        <v>65</v>
      </c>
      <c r="Y14" s="26">
        <f t="shared" si="9"/>
        <v>0.24</v>
      </c>
      <c r="Z14" s="19" t="str">
        <f t="shared" si="2"/>
        <v>Baja</v>
      </c>
      <c r="AA14" s="25">
        <f t="shared" si="3"/>
        <v>0.24</v>
      </c>
      <c r="AB14" s="19" t="str">
        <f t="shared" si="4"/>
        <v>Moderado</v>
      </c>
      <c r="AC14" s="25">
        <f t="shared" si="10"/>
        <v>0.6</v>
      </c>
      <c r="AD14" s="2" t="str">
        <f t="shared" si="5"/>
        <v>Moderado</v>
      </c>
      <c r="AE14" s="12"/>
      <c r="AF14" s="18"/>
      <c r="AG14" s="12"/>
      <c r="AH14" s="27"/>
      <c r="AI14" s="27"/>
      <c r="AJ14" s="18"/>
      <c r="AK14" s="12"/>
    </row>
    <row r="15" spans="1:37">
      <c r="A15" s="231">
        <v>4</v>
      </c>
      <c r="B15" s="232"/>
      <c r="C15" s="232"/>
      <c r="D15" s="232"/>
      <c r="E15" s="233"/>
      <c r="F15" s="232"/>
      <c r="G15" s="232"/>
      <c r="H15" s="226" t="str">
        <f>IF(G15="","",IF('[14]Mapa final'!G15='[14]Tabla probabilidad'!$C$4,"MUY BAJA",IF('[14]Mapa final'!G15='[14]Tabla probabilidad'!$C$5,"BAJA",IF('[14]Mapa final'!G15='[14]Tabla probabilidad'!$C$6,"MEDIA",IF('[14]Mapa final'!G15='[14]Tabla probabilidad'!$C$7,"ALTA",IF('[14]Mapa final'!G15='[14]Tabla probabilidad'!$C$8,"MUY ALTA"))))))</f>
        <v/>
      </c>
      <c r="I15" s="225" t="str">
        <f t="shared" ref="I15" si="11">IF(H15="","",IF(H15="Muy Baja",0.2,IF(H15="Baja",0.4,IF(H15="Media",0.6,IF(H15="Alta",0.8,IF(H15="Muy Alta",1,))))))</f>
        <v/>
      </c>
      <c r="J15" s="224"/>
      <c r="K15" s="225" t="str">
        <f>IF(J15="","",IF(NOT(ISERROR(MATCH(J15,'[14]Tabla Impacto'!$B$37:$B$39,0))),'[14]Tabla Impacto'!$F$37&amp;"Por favor no seleccionar los criterios de impacto(Afectación Económica o presupuestal y Pérdida Reputacional)",J15))</f>
        <v/>
      </c>
      <c r="L15" s="226" t="str">
        <f>IF(OR(J15='[14]Tabla Impacto'!$F$25,J15='[14]Tabla Impacto'!$F$31),"Leve",IF(OR(J15='[14]Tabla Impacto'!$F$26,J15='[14]Tabla Impacto'!$F$32),"Menor",IF(OR(J15='[14]Tabla Impacto'!$F$27,J15='[14]Tabla Impacto'!$F$33,J15='[14]Tabla Impacto'!$F$37),"Moderado",IF(OR(J15='[14]Tabla Impacto'!$F$28,J15='[14]Tabla Impacto'!$F$34,J15='[14]Tabla Impacto'!$F$38),"Mayor",IF(OR(J15='[14]Tabla Impacto'!$F$29,J15='[14]Tabla Impacto'!$F$35,J15='[14]Tabla Impacto'!$F$39),"Catastrófico","")))))</f>
        <v/>
      </c>
      <c r="M15" s="225" t="str">
        <f t="shared" ref="M15" si="12">IF(L15="","",IF(L15="Leve",0.2,IF(L15="Menor",0.4,IF(L15="Moderado",0.6,IF(L15="Mayor",0.8,IF(L15="Catastrófico",1,))))))</f>
        <v/>
      </c>
      <c r="N15" s="227" t="str">
        <f t="shared" ref="N15" si="13">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ref="R15:R28" si="14">IF(OR(S15="Preventivo",S15="Detectivo"),"Probabilidad",IF(S15="Correctivo","Impacto",""))</f>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ref="Y15:Y28" si="15">IFERROR(IF(R15="Probabilidad",(I15-(+I15*U15)),IF(R15="Impacto",I15,"")),"")</f>
        <v/>
      </c>
      <c r="Z15" s="19" t="str">
        <f>IFERROR(IF(Y15="","",IF(Y15&lt;=0.2,"Muy Baja",IF(Y15&lt;=0.4,"Baja",IF(Y15&lt;=0.6,"Media",IF(Y15&lt;=0.8,"Alta","Muy Alta"))))),"")</f>
        <v/>
      </c>
      <c r="AA15" s="25" t="str">
        <f>+Y15</f>
        <v/>
      </c>
      <c r="AB15" s="19" t="str">
        <f>IFERROR(IF(AC15="","",IF(AC15&lt;=0.2,"Leve",IF(AC15&lt;=0.4,"Menor",IF(AC15&lt;=0.6,"Moderado",IF(AC15&lt;=0.8,"Mayor","Catastrófico"))))),"")</f>
        <v/>
      </c>
      <c r="AC15" s="25" t="str">
        <f t="shared" ref="AC15:AC28" si="16">IFERROR(IF(R15="Impacto",(M15-(+M15*U15)),IF(R15="Probabilidad",M15,"")),"")</f>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31"/>
      <c r="B16" s="232"/>
      <c r="C16" s="232"/>
      <c r="D16" s="232"/>
      <c r="E16" s="233"/>
      <c r="F16" s="232"/>
      <c r="G16" s="232"/>
      <c r="H16" s="226"/>
      <c r="I16" s="225"/>
      <c r="J16" s="224"/>
      <c r="K16" s="225">
        <f ca="1">IF(NOT(ISERROR(MATCH(J16,_xlfn.ANCHORARRAY(E19),0))),#REF!&amp;"Por favor no seleccionar los criterios de impacto",J16)</f>
        <v>0</v>
      </c>
      <c r="L16" s="226"/>
      <c r="M16" s="225"/>
      <c r="N16" s="227"/>
      <c r="O16" s="23">
        <v>2</v>
      </c>
      <c r="P16" s="24"/>
      <c r="Q16" s="24"/>
      <c r="R16" s="23" t="str">
        <f t="shared" si="14"/>
        <v/>
      </c>
      <c r="S16" s="12"/>
      <c r="T16" s="12"/>
      <c r="U16" s="25" t="str">
        <f t="shared" ref="U16" si="17">IF(AND(S16="Preventivo",T16="Automático"),"50%",IF(AND(S16="Preventivo",T16="Manual"),"40%",IF(AND(S16="Detectivo",T16="Automático"),"40%",IF(AND(S16="Detectivo",T16="Manual"),"30%",IF(AND(S16="Correctivo",T16="Automático"),"35%",IF(AND(S16="Correctivo",T16="Manual"),"25%",""))))))</f>
        <v/>
      </c>
      <c r="V16" s="12"/>
      <c r="W16" s="12"/>
      <c r="X16" s="12"/>
      <c r="Y16" s="26" t="str">
        <f t="shared" si="15"/>
        <v/>
      </c>
      <c r="Z16" s="19" t="str">
        <f t="shared" ref="Z16:Z28" si="18">IFERROR(IF(Y16="","",IF(Y16&lt;=0.2,"Muy Baja",IF(Y16&lt;=0.4,"Baja",IF(Y16&lt;=0.6,"Media",IF(Y16&lt;=0.8,"Alta","Muy Alta"))))),"")</f>
        <v/>
      </c>
      <c r="AA16" s="25" t="str">
        <f t="shared" ref="AA16" si="19">+Y16</f>
        <v/>
      </c>
      <c r="AB16" s="19" t="str">
        <f t="shared" ref="AB16:AB28" si="20">IFERROR(IF(AC16="","",IF(AC16&lt;=0.2,"Leve",IF(AC16&lt;=0.4,"Menor",IF(AC16&lt;=0.6,"Moderado",IF(AC16&lt;=0.8,"Mayor","Catastrófico"))))),"")</f>
        <v/>
      </c>
      <c r="AC16" s="25" t="str">
        <f t="shared" si="16"/>
        <v/>
      </c>
      <c r="AD16" s="2" t="str">
        <f t="shared" ref="AD16" si="2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31">
        <v>5</v>
      </c>
      <c r="B17" s="232"/>
      <c r="C17" s="232"/>
      <c r="D17" s="232"/>
      <c r="E17" s="233"/>
      <c r="F17" s="232"/>
      <c r="G17" s="232"/>
      <c r="H17" s="226" t="str">
        <f>IF(G17="","",IF('[14]Mapa final'!G17='[14]Tabla probabilidad'!$C$4,"MUY BAJA",IF('[14]Mapa final'!G17='[14]Tabla probabilidad'!$C$5,"BAJA",IF('[14]Mapa final'!G17='[14]Tabla probabilidad'!$C$6,"MEDIA",IF('[14]Mapa final'!G17='[14]Tabla probabilidad'!$C$7,"ALTA",IF('[14]Mapa final'!G17='[14]Tabla probabilidad'!$C$8,"MUY ALTA"))))))</f>
        <v/>
      </c>
      <c r="I17" s="225" t="str">
        <f t="shared" ref="I17" si="22">IF(H17="","",IF(H17="Muy Baja",0.2,IF(H17="Baja",0.4,IF(H17="Media",0.6,IF(H17="Alta",0.8,IF(H17="Muy Alta",1,))))))</f>
        <v/>
      </c>
      <c r="J17" s="224"/>
      <c r="K17" s="225" t="str">
        <f>IF(J17="","",IF(NOT(ISERROR(MATCH(J17,'[14]Tabla Impacto'!$B$37:$B$39,0))),'[14]Tabla Impacto'!$F$37&amp;"Por favor no seleccionar los criterios de impacto(Afectación Económica o presupuestal y Pérdida Reputacional)",J17))</f>
        <v/>
      </c>
      <c r="L17" s="226" t="str">
        <f>IF(OR(J17='[14]Tabla Impacto'!$F$25,J17='[14]Tabla Impacto'!$F$31),"Leve",IF(OR(J17='[14]Tabla Impacto'!$F$26,J17='[14]Tabla Impacto'!$F$32),"Menor",IF(OR(J17='[14]Tabla Impacto'!$F$27,J17='[14]Tabla Impacto'!$F$33,J17='[14]Tabla Impacto'!$F$37),"Moderado",IF(OR(J17='[14]Tabla Impacto'!$F$28,J17='[14]Tabla Impacto'!$F$34,J17='[14]Tabla Impacto'!$F$38),"Mayor",IF(OR(J17='[14]Tabla Impacto'!$F$29,J17='[14]Tabla Impacto'!$F$35,J17='[14]Tabla Impacto'!$F$39),"Catastrófico","")))))</f>
        <v/>
      </c>
      <c r="M17" s="225" t="str">
        <f t="shared" ref="M17" si="23">IF(L17="","",IF(L17="Leve",0.2,IF(L17="Menor",0.4,IF(L17="Moderado",0.6,IF(L17="Mayor",0.8,IF(L17="Catastrófico",1,))))))</f>
        <v/>
      </c>
      <c r="N17" s="227" t="str">
        <f t="shared" ref="N17" si="24">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14"/>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15"/>
        <v/>
      </c>
      <c r="Z17" s="19" t="str">
        <f>IFERROR(IF(Y17="","",IF(Y17&lt;=0.2,"Muy Baja",IF(Y17&lt;=0.4,"Baja",IF(Y17&lt;=0.6,"Media",IF(Y17&lt;=0.8,"Alta","Muy Alta"))))),"")</f>
        <v/>
      </c>
      <c r="AA17" s="25" t="str">
        <f>+Y17</f>
        <v/>
      </c>
      <c r="AB17" s="19" t="str">
        <f>IFERROR(IF(AC17="","",IF(AC17&lt;=0.2,"Leve",IF(AC17&lt;=0.4,"Menor",IF(AC17&lt;=0.6,"Moderado",IF(AC17&lt;=0.8,"Mayor","Catastrófico"))))),"")</f>
        <v/>
      </c>
      <c r="AC17" s="25" t="str">
        <f t="shared" si="1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31"/>
      <c r="B18" s="232"/>
      <c r="C18" s="232"/>
      <c r="D18" s="232"/>
      <c r="E18" s="233"/>
      <c r="F18" s="232"/>
      <c r="G18" s="232"/>
      <c r="H18" s="226"/>
      <c r="I18" s="225"/>
      <c r="J18" s="224"/>
      <c r="K18" s="225">
        <f ca="1">IF(NOT(ISERROR(MATCH(J18,_xlfn.ANCHORARRAY(E21),0))),#REF!&amp;"Por favor no seleccionar los criterios de impacto",J18)</f>
        <v>0</v>
      </c>
      <c r="L18" s="226"/>
      <c r="M18" s="225"/>
      <c r="N18" s="227"/>
      <c r="O18" s="23">
        <v>2</v>
      </c>
      <c r="P18" s="24"/>
      <c r="Q18" s="24"/>
      <c r="R18" s="23" t="str">
        <f t="shared" si="14"/>
        <v/>
      </c>
      <c r="S18" s="12"/>
      <c r="T18" s="12"/>
      <c r="U18" s="25" t="str">
        <f t="shared" ref="U18" si="25">IF(AND(S18="Preventivo",T18="Automático"),"50%",IF(AND(S18="Preventivo",T18="Manual"),"40%",IF(AND(S18="Detectivo",T18="Automático"),"40%",IF(AND(S18="Detectivo",T18="Manual"),"30%",IF(AND(S18="Correctivo",T18="Automático"),"35%",IF(AND(S18="Correctivo",T18="Manual"),"25%",""))))))</f>
        <v/>
      </c>
      <c r="V18" s="12"/>
      <c r="W18" s="12"/>
      <c r="X18" s="12"/>
      <c r="Y18" s="26" t="str">
        <f t="shared" si="15"/>
        <v/>
      </c>
      <c r="Z18" s="19" t="str">
        <f t="shared" si="18"/>
        <v/>
      </c>
      <c r="AA18" s="25" t="str">
        <f t="shared" ref="AA18" si="26">+Y18</f>
        <v/>
      </c>
      <c r="AB18" s="19" t="str">
        <f t="shared" si="20"/>
        <v/>
      </c>
      <c r="AC18" s="25" t="str">
        <f t="shared" si="16"/>
        <v/>
      </c>
      <c r="AD18" s="2" t="str">
        <f t="shared" ref="AD18" si="2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31">
        <v>6</v>
      </c>
      <c r="B19" s="232"/>
      <c r="C19" s="232"/>
      <c r="D19" s="232"/>
      <c r="E19" s="233"/>
      <c r="F19" s="232"/>
      <c r="G19" s="232"/>
      <c r="H19" s="226" t="str">
        <f>IF(G19="","",IF('[14]Mapa final'!G19='[14]Tabla probabilidad'!$C$4,"MUY BAJA",IF('[14]Mapa final'!G19='[14]Tabla probabilidad'!$C$5,"BAJA",IF('[14]Mapa final'!G19='[14]Tabla probabilidad'!$C$6,"MEDIA",IF('[14]Mapa final'!G19='[14]Tabla probabilidad'!$C$7,"ALTA",IF('[14]Mapa final'!G19='[14]Tabla probabilidad'!$C$8,"MUY ALTA"))))))</f>
        <v/>
      </c>
      <c r="I19" s="225" t="str">
        <f t="shared" ref="I19" si="28">IF(H19="","",IF(H19="Muy Baja",0.2,IF(H19="Baja",0.4,IF(H19="Media",0.6,IF(H19="Alta",0.8,IF(H19="Muy Alta",1,))))))</f>
        <v/>
      </c>
      <c r="J19" s="224"/>
      <c r="K19" s="225" t="str">
        <f>IF(J19="","",IF(NOT(ISERROR(MATCH(J19,'[14]Tabla Impacto'!$B$37:$B$39,0))),'[14]Tabla Impacto'!$F$37&amp;"Por favor no seleccionar los criterios de impacto(Afectación Económica o presupuestal y Pérdida Reputacional)",J19))</f>
        <v/>
      </c>
      <c r="L19" s="226" t="str">
        <f>IF(OR(J19='[14]Tabla Impacto'!$F$25,J19='[14]Tabla Impacto'!$F$31),"Leve",IF(OR(J19='[14]Tabla Impacto'!$F$26,J19='[14]Tabla Impacto'!$F$32),"Menor",IF(OR(J19='[14]Tabla Impacto'!$F$27,J19='[14]Tabla Impacto'!$F$33,J19='[14]Tabla Impacto'!$F$37),"Moderado",IF(OR(J19='[14]Tabla Impacto'!$F$28,J19='[14]Tabla Impacto'!$F$34,J19='[14]Tabla Impacto'!$F$38),"Mayor",IF(OR(J19='[14]Tabla Impacto'!$F$29,J19='[14]Tabla Impacto'!$F$35,J19='[14]Tabla Impacto'!$F$39),"Catastrófico","")))))</f>
        <v/>
      </c>
      <c r="M19" s="225" t="str">
        <f t="shared" ref="M19" si="29">IF(L19="","",IF(L19="Leve",0.2,IF(L19="Menor",0.4,IF(L19="Moderado",0.6,IF(L19="Mayor",0.8,IF(L19="Catastrófico",1,))))))</f>
        <v/>
      </c>
      <c r="N19" s="227" t="str">
        <f t="shared" ref="N19" si="30">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14"/>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15"/>
        <v/>
      </c>
      <c r="Z19" s="19" t="str">
        <f>IFERROR(IF(Y19="","",IF(Y19&lt;=0.2,"Muy Baja",IF(Y19&lt;=0.4,"Baja",IF(Y19&lt;=0.6,"Media",IF(Y19&lt;=0.8,"Alta","Muy Alta"))))),"")</f>
        <v/>
      </c>
      <c r="AA19" s="25" t="str">
        <f>+Y19</f>
        <v/>
      </c>
      <c r="AB19" s="19" t="str">
        <f>IFERROR(IF(AC19="","",IF(AC19&lt;=0.2,"Leve",IF(AC19&lt;=0.4,"Menor",IF(AC19&lt;=0.6,"Moderado",IF(AC19&lt;=0.8,"Mayor","Catastrófico"))))),"")</f>
        <v/>
      </c>
      <c r="AC19" s="25" t="str">
        <f t="shared" si="1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31"/>
      <c r="B20" s="232"/>
      <c r="C20" s="232"/>
      <c r="D20" s="232"/>
      <c r="E20" s="233"/>
      <c r="F20" s="232"/>
      <c r="G20" s="232"/>
      <c r="H20" s="226"/>
      <c r="I20" s="225"/>
      <c r="J20" s="224"/>
      <c r="K20" s="225">
        <f ca="1">IF(NOT(ISERROR(MATCH(J20,_xlfn.ANCHORARRAY(E23),0))),#REF!&amp;"Por favor no seleccionar los criterios de impacto",J20)</f>
        <v>0</v>
      </c>
      <c r="L20" s="226"/>
      <c r="M20" s="225"/>
      <c r="N20" s="227"/>
      <c r="O20" s="23">
        <v>2</v>
      </c>
      <c r="P20" s="24"/>
      <c r="Q20" s="24"/>
      <c r="R20" s="23" t="str">
        <f t="shared" si="14"/>
        <v/>
      </c>
      <c r="S20" s="12"/>
      <c r="T20" s="12"/>
      <c r="U20" s="25" t="str">
        <f t="shared" ref="U20" si="31">IF(AND(S20="Preventivo",T20="Automático"),"50%",IF(AND(S20="Preventivo",T20="Manual"),"40%",IF(AND(S20="Detectivo",T20="Automático"),"40%",IF(AND(S20="Detectivo",T20="Manual"),"30%",IF(AND(S20="Correctivo",T20="Automático"),"35%",IF(AND(S20="Correctivo",T20="Manual"),"25%",""))))))</f>
        <v/>
      </c>
      <c r="V20" s="12"/>
      <c r="W20" s="12"/>
      <c r="X20" s="12"/>
      <c r="Y20" s="26" t="str">
        <f t="shared" si="15"/>
        <v/>
      </c>
      <c r="Z20" s="19" t="str">
        <f t="shared" si="18"/>
        <v/>
      </c>
      <c r="AA20" s="25" t="str">
        <f t="shared" ref="AA20" si="32">+Y20</f>
        <v/>
      </c>
      <c r="AB20" s="19" t="str">
        <f t="shared" si="20"/>
        <v/>
      </c>
      <c r="AC20" s="25" t="str">
        <f t="shared" si="16"/>
        <v/>
      </c>
      <c r="AD20" s="2" t="str">
        <f t="shared" ref="AD20" si="33">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31">
        <v>7</v>
      </c>
      <c r="B21" s="232"/>
      <c r="C21" s="232"/>
      <c r="D21" s="232"/>
      <c r="E21" s="233"/>
      <c r="F21" s="232"/>
      <c r="G21" s="232"/>
      <c r="H21" s="226" t="str">
        <f>IF(G21="","",IF('[14]Mapa final'!G21='[14]Tabla probabilidad'!$C$4,"MUY BAJA",IF('[14]Mapa final'!G21='[14]Tabla probabilidad'!$C$5,"BAJA",IF('[14]Mapa final'!G21='[14]Tabla probabilidad'!$C$6,"MEDIA",IF('[14]Mapa final'!G21='[14]Tabla probabilidad'!$C$7,"ALTA",IF('[14]Mapa final'!G21='[14]Tabla probabilidad'!$C$8,"MUY ALTA"))))))</f>
        <v/>
      </c>
      <c r="I21" s="225" t="str">
        <f t="shared" ref="I21" si="34">IF(H21="","",IF(H21="Muy Baja",0.2,IF(H21="Baja",0.4,IF(H21="Media",0.6,IF(H21="Alta",0.8,IF(H21="Muy Alta",1,))))))</f>
        <v/>
      </c>
      <c r="J21" s="224"/>
      <c r="K21" s="225" t="str">
        <f>IF(J21="","",IF(NOT(ISERROR(MATCH(J21,'[14]Tabla Impacto'!$B$37:$B$39,0))),'[14]Tabla Impacto'!$F$37&amp;"Por favor no seleccionar los criterios de impacto(Afectación Económica o presupuestal y Pérdida Reputacional)",J21))</f>
        <v/>
      </c>
      <c r="L21" s="226" t="str">
        <f>IF(OR(J21='[14]Tabla Impacto'!$F$25,J21='[14]Tabla Impacto'!$F$31),"Leve",IF(OR(J21='[14]Tabla Impacto'!$F$26,J21='[14]Tabla Impacto'!$F$32),"Menor",IF(OR(J21='[14]Tabla Impacto'!$F$27,J21='[14]Tabla Impacto'!$F$33,J21='[14]Tabla Impacto'!$F$37),"Moderado",IF(OR(J21='[14]Tabla Impacto'!$F$28,J21='[14]Tabla Impacto'!$F$34,J21='[14]Tabla Impacto'!$F$38),"Mayor",IF(OR(J21='[14]Tabla Impacto'!$F$29,J21='[14]Tabla Impacto'!$F$35,J21='[14]Tabla Impacto'!$F$39),"Catastrófico","")))))</f>
        <v/>
      </c>
      <c r="M21" s="225" t="str">
        <f t="shared" ref="M21" si="35">IF(L21="","",IF(L21="Leve",0.2,IF(L21="Menor",0.4,IF(L21="Moderado",0.6,IF(L21="Mayor",0.8,IF(L21="Catastrófico",1,))))))</f>
        <v/>
      </c>
      <c r="N21" s="227" t="str">
        <f t="shared" ref="N21" si="36">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14"/>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15"/>
        <v/>
      </c>
      <c r="Z21" s="19" t="str">
        <f>IFERROR(IF(Y21="","",IF(Y21&lt;=0.2,"Muy Baja",IF(Y21&lt;=0.4,"Baja",IF(Y21&lt;=0.6,"Media",IF(Y21&lt;=0.8,"Alta","Muy Alta"))))),"")</f>
        <v/>
      </c>
      <c r="AA21" s="25" t="str">
        <f>+Y21</f>
        <v/>
      </c>
      <c r="AB21" s="19" t="str">
        <f>IFERROR(IF(AC21="","",IF(AC21&lt;=0.2,"Leve",IF(AC21&lt;=0.4,"Menor",IF(AC21&lt;=0.6,"Moderado",IF(AC21&lt;=0.8,"Mayor","Catastrófico"))))),"")</f>
        <v/>
      </c>
      <c r="AC21" s="25" t="str">
        <f t="shared" si="1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31"/>
      <c r="B22" s="232"/>
      <c r="C22" s="232"/>
      <c r="D22" s="232"/>
      <c r="E22" s="233"/>
      <c r="F22" s="232"/>
      <c r="G22" s="232"/>
      <c r="H22" s="226"/>
      <c r="I22" s="225"/>
      <c r="J22" s="224"/>
      <c r="K22" s="225">
        <f ca="1">IF(NOT(ISERROR(MATCH(J22,_xlfn.ANCHORARRAY(E25),0))),#REF!&amp;"Por favor no seleccionar los criterios de impacto",J22)</f>
        <v>0</v>
      </c>
      <c r="L22" s="226"/>
      <c r="M22" s="225"/>
      <c r="N22" s="227"/>
      <c r="O22" s="23">
        <v>2</v>
      </c>
      <c r="P22" s="24"/>
      <c r="Q22" s="24"/>
      <c r="R22" s="23" t="str">
        <f t="shared" si="14"/>
        <v/>
      </c>
      <c r="S22" s="12"/>
      <c r="T22" s="12"/>
      <c r="U22" s="25" t="str">
        <f t="shared" ref="U22" si="37">IF(AND(S22="Preventivo",T22="Automático"),"50%",IF(AND(S22="Preventivo",T22="Manual"),"40%",IF(AND(S22="Detectivo",T22="Automático"),"40%",IF(AND(S22="Detectivo",T22="Manual"),"30%",IF(AND(S22="Correctivo",T22="Automático"),"35%",IF(AND(S22="Correctivo",T22="Manual"),"25%",""))))))</f>
        <v/>
      </c>
      <c r="V22" s="12"/>
      <c r="W22" s="12"/>
      <c r="X22" s="12"/>
      <c r="Y22" s="26" t="str">
        <f t="shared" si="15"/>
        <v/>
      </c>
      <c r="Z22" s="19" t="str">
        <f t="shared" si="18"/>
        <v/>
      </c>
      <c r="AA22" s="25" t="str">
        <f t="shared" ref="AA22" si="38">+Y22</f>
        <v/>
      </c>
      <c r="AB22" s="19" t="str">
        <f t="shared" si="20"/>
        <v/>
      </c>
      <c r="AC22" s="25" t="str">
        <f t="shared" si="16"/>
        <v/>
      </c>
      <c r="AD22" s="2" t="str">
        <f t="shared" ref="AD22" si="39">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31">
        <v>8</v>
      </c>
      <c r="B23" s="232"/>
      <c r="C23" s="232"/>
      <c r="D23" s="232"/>
      <c r="E23" s="233"/>
      <c r="F23" s="232"/>
      <c r="G23" s="232"/>
      <c r="H23" s="226" t="str">
        <f>IF(G23="","",IF('[14]Mapa final'!G23='[14]Tabla probabilidad'!$C$4,"MUY BAJA",IF('[14]Mapa final'!G23='[14]Tabla probabilidad'!$C$5,"BAJA",IF('[14]Mapa final'!G23='[14]Tabla probabilidad'!$C$6,"MEDIA",IF('[14]Mapa final'!G23='[14]Tabla probabilidad'!$C$7,"ALTA",IF('[14]Mapa final'!G23='[14]Tabla probabilidad'!$C$8,"MUY ALTA"))))))</f>
        <v/>
      </c>
      <c r="I23" s="225" t="str">
        <f t="shared" ref="I23" si="40">IF(H23="","",IF(H23="Muy Baja",0.2,IF(H23="Baja",0.4,IF(H23="Media",0.6,IF(H23="Alta",0.8,IF(H23="Muy Alta",1,))))))</f>
        <v/>
      </c>
      <c r="J23" s="224"/>
      <c r="K23" s="225" t="str">
        <f>IF(J23="","",IF(NOT(ISERROR(MATCH(J23,'[14]Tabla Impacto'!$B$37:$B$39,0))),'[14]Tabla Impacto'!$F$37&amp;"Por favor no seleccionar los criterios de impacto(Afectación Económica o presupuestal y Pérdida Reputacional)",J23))</f>
        <v/>
      </c>
      <c r="L23" s="226" t="str">
        <f>IF(OR(J23='[14]Tabla Impacto'!$F$25,J23='[14]Tabla Impacto'!$F$31),"Leve",IF(OR(J23='[14]Tabla Impacto'!$F$26,J23='[14]Tabla Impacto'!$F$32),"Menor",IF(OR(J23='[14]Tabla Impacto'!$F$27,J23='[14]Tabla Impacto'!$F$33,J23='[14]Tabla Impacto'!$F$37),"Moderado",IF(OR(J23='[14]Tabla Impacto'!$F$28,J23='[14]Tabla Impacto'!$F$34,J23='[14]Tabla Impacto'!$F$38),"Mayor",IF(OR(J23='[14]Tabla Impacto'!$F$29,J23='[14]Tabla Impacto'!$F$35,J23='[14]Tabla Impacto'!$F$39),"Catastrófico","")))))</f>
        <v/>
      </c>
      <c r="M23" s="225" t="str">
        <f t="shared" ref="M23" si="41">IF(L23="","",IF(L23="Leve",0.2,IF(L23="Menor",0.4,IF(L23="Moderado",0.6,IF(L23="Mayor",0.8,IF(L23="Catastrófico",1,))))))</f>
        <v/>
      </c>
      <c r="N23" s="227" t="str">
        <f t="shared" ref="N23" si="42">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14"/>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15"/>
        <v/>
      </c>
      <c r="Z23" s="19" t="str">
        <f>IFERROR(IF(Y23="","",IF(Y23&lt;=0.2,"Muy Baja",IF(Y23&lt;=0.4,"Baja",IF(Y23&lt;=0.6,"Media",IF(Y23&lt;=0.8,"Alta","Muy Alta"))))),"")</f>
        <v/>
      </c>
      <c r="AA23" s="25" t="str">
        <f>+Y23</f>
        <v/>
      </c>
      <c r="AB23" s="19" t="str">
        <f>IFERROR(IF(AC23="","",IF(AC23&lt;=0.2,"Leve",IF(AC23&lt;=0.4,"Menor",IF(AC23&lt;=0.6,"Moderado",IF(AC23&lt;=0.8,"Mayor","Catastrófico"))))),"")</f>
        <v/>
      </c>
      <c r="AC23" s="25" t="str">
        <f t="shared" si="1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31"/>
      <c r="B24" s="232"/>
      <c r="C24" s="232"/>
      <c r="D24" s="232"/>
      <c r="E24" s="233"/>
      <c r="F24" s="232"/>
      <c r="G24" s="232"/>
      <c r="H24" s="226"/>
      <c r="I24" s="225"/>
      <c r="J24" s="224"/>
      <c r="K24" s="225">
        <f ca="1">IF(NOT(ISERROR(MATCH(J24,_xlfn.ANCHORARRAY(E27),0))),#REF!&amp;"Por favor no seleccionar los criterios de impacto",J24)</f>
        <v>0</v>
      </c>
      <c r="L24" s="226"/>
      <c r="M24" s="225"/>
      <c r="N24" s="227"/>
      <c r="O24" s="23">
        <v>2</v>
      </c>
      <c r="P24" s="24"/>
      <c r="Q24" s="24"/>
      <c r="R24" s="23" t="str">
        <f t="shared" si="14"/>
        <v/>
      </c>
      <c r="S24" s="12"/>
      <c r="T24" s="12"/>
      <c r="U24" s="25" t="str">
        <f t="shared" ref="U24" si="43">IF(AND(S24="Preventivo",T24="Automático"),"50%",IF(AND(S24="Preventivo",T24="Manual"),"40%",IF(AND(S24="Detectivo",T24="Automático"),"40%",IF(AND(S24="Detectivo",T24="Manual"),"30%",IF(AND(S24="Correctivo",T24="Automático"),"35%",IF(AND(S24="Correctivo",T24="Manual"),"25%",""))))))</f>
        <v/>
      </c>
      <c r="V24" s="12"/>
      <c r="W24" s="12"/>
      <c r="X24" s="12"/>
      <c r="Y24" s="26" t="str">
        <f t="shared" si="15"/>
        <v/>
      </c>
      <c r="Z24" s="19" t="str">
        <f t="shared" si="18"/>
        <v/>
      </c>
      <c r="AA24" s="25" t="str">
        <f t="shared" ref="AA24" si="44">+Y24</f>
        <v/>
      </c>
      <c r="AB24" s="19" t="str">
        <f t="shared" si="20"/>
        <v/>
      </c>
      <c r="AC24" s="25" t="str">
        <f t="shared" si="16"/>
        <v/>
      </c>
      <c r="AD24" s="2" t="str">
        <f t="shared" ref="AD24" si="45">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31">
        <v>9</v>
      </c>
      <c r="B25" s="232"/>
      <c r="C25" s="232"/>
      <c r="D25" s="232"/>
      <c r="E25" s="233"/>
      <c r="F25" s="232"/>
      <c r="G25" s="232"/>
      <c r="H25" s="226" t="str">
        <f>IF(G25="","",IF('[14]Mapa final'!G25='[14]Tabla probabilidad'!$C$4,"MUY BAJA",IF('[14]Mapa final'!G25='[14]Tabla probabilidad'!$C$5,"BAJA",IF('[14]Mapa final'!G25='[14]Tabla probabilidad'!$C$6,"MEDIA",IF('[14]Mapa final'!G25='[14]Tabla probabilidad'!$C$7,"ALTA",IF('[14]Mapa final'!G25='[14]Tabla probabilidad'!$C$8,"MUY ALTA"))))))</f>
        <v/>
      </c>
      <c r="I25" s="225" t="str">
        <f t="shared" ref="I25" si="46">IF(H25="","",IF(H25="Muy Baja",0.2,IF(H25="Baja",0.4,IF(H25="Media",0.6,IF(H25="Alta",0.8,IF(H25="Muy Alta",1,))))))</f>
        <v/>
      </c>
      <c r="J25" s="224"/>
      <c r="K25" s="225" t="str">
        <f>IF(J25="","",IF(NOT(ISERROR(MATCH(J25,'[14]Tabla Impacto'!$B$37:$B$39,0))),'[14]Tabla Impacto'!$F$37&amp;"Por favor no seleccionar los criterios de impacto(Afectación Económica o presupuestal y Pérdida Reputacional)",J25))</f>
        <v/>
      </c>
      <c r="L25" s="226" t="str">
        <f>IF(OR(J25='[14]Tabla Impacto'!$F$25,J25='[14]Tabla Impacto'!$F$31),"Leve",IF(OR(J25='[14]Tabla Impacto'!$F$26,J25='[14]Tabla Impacto'!$F$32),"Menor",IF(OR(J25='[14]Tabla Impacto'!$F$27,J25='[14]Tabla Impacto'!$F$33,J25='[14]Tabla Impacto'!$F$37),"Moderado",IF(OR(J25='[14]Tabla Impacto'!$F$28,J25='[14]Tabla Impacto'!$F$34,J25='[14]Tabla Impacto'!$F$38),"Mayor",IF(OR(J25='[14]Tabla Impacto'!$F$29,J25='[14]Tabla Impacto'!$F$35,J25='[14]Tabla Impacto'!$F$39),"Catastrófico","")))))</f>
        <v/>
      </c>
      <c r="M25" s="225" t="str">
        <f t="shared" ref="M25" si="47">IF(L25="","",IF(L25="Leve",0.2,IF(L25="Menor",0.4,IF(L25="Moderado",0.6,IF(L25="Mayor",0.8,IF(L25="Catastrófico",1,))))))</f>
        <v/>
      </c>
      <c r="N25" s="227" t="str">
        <f t="shared" ref="N25" si="48">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14"/>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15"/>
        <v/>
      </c>
      <c r="Z25" s="19" t="str">
        <f>IFERROR(IF(Y25="","",IF(Y25&lt;=0.2,"Muy Baja",IF(Y25&lt;=0.4,"Baja",IF(Y25&lt;=0.6,"Media",IF(Y25&lt;=0.8,"Alta","Muy Alta"))))),"")</f>
        <v/>
      </c>
      <c r="AA25" s="25" t="str">
        <f>+Y25</f>
        <v/>
      </c>
      <c r="AB25" s="19" t="str">
        <f>IFERROR(IF(AC25="","",IF(AC25&lt;=0.2,"Leve",IF(AC25&lt;=0.4,"Menor",IF(AC25&lt;=0.6,"Moderado",IF(AC25&lt;=0.8,"Mayor","Catastrófico"))))),"")</f>
        <v/>
      </c>
      <c r="AC25" s="25" t="str">
        <f t="shared" si="1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31"/>
      <c r="B26" s="232"/>
      <c r="C26" s="232"/>
      <c r="D26" s="232"/>
      <c r="E26" s="233"/>
      <c r="F26" s="232"/>
      <c r="G26" s="232"/>
      <c r="H26" s="226"/>
      <c r="I26" s="225"/>
      <c r="J26" s="224"/>
      <c r="K26" s="225">
        <f ca="1">IF(NOT(ISERROR(MATCH(J26,_xlfn.ANCHORARRAY(E29),0))),#REF!&amp;"Por favor no seleccionar los criterios de impacto",J26)</f>
        <v>0</v>
      </c>
      <c r="L26" s="226"/>
      <c r="M26" s="225"/>
      <c r="N26" s="227"/>
      <c r="O26" s="23">
        <v>2</v>
      </c>
      <c r="P26" s="24"/>
      <c r="Q26" s="24"/>
      <c r="R26" s="23" t="str">
        <f t="shared" si="14"/>
        <v/>
      </c>
      <c r="S26" s="12"/>
      <c r="T26" s="12"/>
      <c r="U26" s="25" t="str">
        <f t="shared" ref="U26" si="49">IF(AND(S26="Preventivo",T26="Automático"),"50%",IF(AND(S26="Preventivo",T26="Manual"),"40%",IF(AND(S26="Detectivo",T26="Automático"),"40%",IF(AND(S26="Detectivo",T26="Manual"),"30%",IF(AND(S26="Correctivo",T26="Automático"),"35%",IF(AND(S26="Correctivo",T26="Manual"),"25%",""))))))</f>
        <v/>
      </c>
      <c r="V26" s="12"/>
      <c r="W26" s="12"/>
      <c r="X26" s="12"/>
      <c r="Y26" s="26" t="str">
        <f t="shared" si="15"/>
        <v/>
      </c>
      <c r="Z26" s="19" t="str">
        <f t="shared" si="18"/>
        <v/>
      </c>
      <c r="AA26" s="25" t="str">
        <f t="shared" ref="AA26" si="50">+Y26</f>
        <v/>
      </c>
      <c r="AB26" s="19" t="str">
        <f t="shared" si="20"/>
        <v/>
      </c>
      <c r="AC26" s="25" t="str">
        <f t="shared" si="16"/>
        <v/>
      </c>
      <c r="AD26" s="2" t="str">
        <f t="shared" ref="AD26" si="51">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31">
        <v>10</v>
      </c>
      <c r="B27" s="232"/>
      <c r="C27" s="232"/>
      <c r="D27" s="232"/>
      <c r="E27" s="233"/>
      <c r="F27" s="232"/>
      <c r="G27" s="232"/>
      <c r="H27" s="226" t="str">
        <f>IF(G27="","",IF('[14]Mapa final'!G27='[14]Tabla probabilidad'!$C$4,"MUY BAJA",IF('[14]Mapa final'!G27='[14]Tabla probabilidad'!$C$5,"BAJA",IF('[14]Mapa final'!G27='[14]Tabla probabilidad'!$C$6,"MEDIA",IF('[14]Mapa final'!G27='[14]Tabla probabilidad'!$C$7,"ALTA",IF('[14]Mapa final'!G27='[14]Tabla probabilidad'!$C$8,"MUY ALTA"))))))</f>
        <v/>
      </c>
      <c r="I27" s="225" t="str">
        <f t="shared" ref="I27" si="52">IF(H27="","",IF(H27="Muy Baja",0.2,IF(H27="Baja",0.4,IF(H27="Media",0.6,IF(H27="Alta",0.8,IF(H27="Muy Alta",1,))))))</f>
        <v/>
      </c>
      <c r="J27" s="224"/>
      <c r="K27" s="225" t="str">
        <f>IF(J27="","",IF(NOT(ISERROR(MATCH(J27,'[14]Tabla Impacto'!$B$37:$B$39,0))),'[14]Tabla Impacto'!$F$37&amp;"Por favor no seleccionar los criterios de impacto(Afectación Económica o presupuestal y Pérdida Reputacional)",J27))</f>
        <v/>
      </c>
      <c r="L27" s="226" t="str">
        <f>IF(OR(J27='[14]Tabla Impacto'!$F$25,J27='[14]Tabla Impacto'!$F$31),"Leve",IF(OR(J27='[14]Tabla Impacto'!$F$26,J27='[14]Tabla Impacto'!$F$32),"Menor",IF(OR(J27='[14]Tabla Impacto'!$F$27,J27='[14]Tabla Impacto'!$F$33,J27='[14]Tabla Impacto'!$F$37),"Moderado",IF(OR(J27='[14]Tabla Impacto'!$F$28,J27='[14]Tabla Impacto'!$F$34,J27='[14]Tabla Impacto'!$F$38),"Mayor",IF(OR(J27='[14]Tabla Impacto'!$F$29,J27='[14]Tabla Impacto'!$F$35,J27='[14]Tabla Impacto'!$F$39),"Catastrófico","")))))</f>
        <v/>
      </c>
      <c r="M27" s="225" t="str">
        <f t="shared" ref="M27" si="53">IF(L27="","",IF(L27="Leve",0.2,IF(L27="Menor",0.4,IF(L27="Moderado",0.6,IF(L27="Mayor",0.8,IF(L27="Catastrófico",1,))))))</f>
        <v/>
      </c>
      <c r="N27" s="227" t="str">
        <f t="shared" ref="N27" si="54">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14"/>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15"/>
        <v/>
      </c>
      <c r="Z27" s="19" t="str">
        <f>IFERROR(IF(Y27="","",IF(Y27&lt;=0.2,"Muy Baja",IF(Y27&lt;=0.4,"Baja",IF(Y27&lt;=0.6,"Media",IF(Y27&lt;=0.8,"Alta","Muy Alta"))))),"")</f>
        <v/>
      </c>
      <c r="AA27" s="25" t="str">
        <f>+Y27</f>
        <v/>
      </c>
      <c r="AB27" s="19" t="str">
        <f>IFERROR(IF(AC27="","",IF(AC27&lt;=0.2,"Leve",IF(AC27&lt;=0.4,"Menor",IF(AC27&lt;=0.6,"Moderado",IF(AC27&lt;=0.8,"Mayor","Catastrófico"))))),"")</f>
        <v/>
      </c>
      <c r="AC27" s="25" t="str">
        <f t="shared" si="1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31"/>
      <c r="B28" s="232"/>
      <c r="C28" s="232"/>
      <c r="D28" s="232"/>
      <c r="E28" s="233"/>
      <c r="F28" s="232"/>
      <c r="G28" s="232"/>
      <c r="H28" s="226"/>
      <c r="I28" s="225"/>
      <c r="J28" s="224"/>
      <c r="K28" s="225">
        <f ca="1">IF(NOT(ISERROR(MATCH(J28,_xlfn.ANCHORARRAY(E30),0))),#REF!&amp;"Por favor no seleccionar los criterios de impacto",J28)</f>
        <v>0</v>
      </c>
      <c r="L28" s="226"/>
      <c r="M28" s="225"/>
      <c r="N28" s="227"/>
      <c r="O28" s="23">
        <v>2</v>
      </c>
      <c r="P28" s="24"/>
      <c r="Q28" s="24"/>
      <c r="R28" s="23" t="str">
        <f t="shared" si="14"/>
        <v/>
      </c>
      <c r="S28" s="12"/>
      <c r="T28" s="12"/>
      <c r="U28" s="25" t="str">
        <f t="shared" ref="U28" si="55">IF(AND(S28="Preventivo",T28="Automático"),"50%",IF(AND(S28="Preventivo",T28="Manual"),"40%",IF(AND(S28="Detectivo",T28="Automático"),"40%",IF(AND(S28="Detectivo",T28="Manual"),"30%",IF(AND(S28="Correctivo",T28="Automático"),"35%",IF(AND(S28="Correctivo",T28="Manual"),"25%",""))))))</f>
        <v/>
      </c>
      <c r="V28" s="12"/>
      <c r="W28" s="12"/>
      <c r="X28" s="12"/>
      <c r="Y28" s="26" t="str">
        <f t="shared" si="15"/>
        <v/>
      </c>
      <c r="Z28" s="19" t="str">
        <f t="shared" si="18"/>
        <v/>
      </c>
      <c r="AA28" s="25" t="str">
        <f t="shared" ref="AA28" si="56">+Y28</f>
        <v/>
      </c>
      <c r="AB28" s="19" t="str">
        <f t="shared" si="20"/>
        <v/>
      </c>
      <c r="AC28" s="25" t="str">
        <f t="shared" si="16"/>
        <v/>
      </c>
      <c r="AD28" s="2" t="str">
        <f t="shared" ref="AD28" si="57">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28" t="s">
        <v>97</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3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49">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AJ7:AJ8"/>
    <mergeCell ref="AK7:AK8"/>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H15 Z9:Z28">
    <cfRule type="cellIs" dxfId="450" priority="13" operator="equal">
      <formula>"Muy Alta"</formula>
    </cfRule>
    <cfRule type="cellIs" dxfId="449" priority="14" operator="equal">
      <formula>"Alta"</formula>
    </cfRule>
    <cfRule type="cellIs" dxfId="448" priority="15" operator="equal">
      <formula>"Media"</formula>
    </cfRule>
    <cfRule type="cellIs" dxfId="447" priority="16" operator="equal">
      <formula>"Baja"</formula>
    </cfRule>
    <cfRule type="cellIs" dxfId="446" priority="17" operator="equal">
      <formula>"Muy Baja"</formula>
    </cfRule>
  </conditionalFormatting>
  <conditionalFormatting sqref="H17 H19 H21 H23 H25 H27">
    <cfRule type="cellIs" dxfId="445" priority="42" operator="equal">
      <formula>"Muy Alta"</formula>
    </cfRule>
    <cfRule type="cellIs" dxfId="444" priority="43" operator="equal">
      <formula>"Alta"</formula>
    </cfRule>
    <cfRule type="cellIs" dxfId="443" priority="44" operator="equal">
      <formula>"Media"</formula>
    </cfRule>
    <cfRule type="cellIs" dxfId="442" priority="45" operator="equal">
      <formula>"Baja"</formula>
    </cfRule>
    <cfRule type="cellIs" dxfId="441" priority="46" operator="equal">
      <formula>"Muy Baja"</formula>
    </cfRule>
  </conditionalFormatting>
  <conditionalFormatting sqref="K9:K28">
    <cfRule type="containsText" dxfId="440" priority="3" operator="containsText" text="❌">
      <formula>NOT(ISERROR(SEARCH("❌",K9)))</formula>
    </cfRule>
  </conditionalFormatting>
  <conditionalFormatting sqref="L9:L15 AB9:AB28">
    <cfRule type="cellIs" dxfId="439" priority="8" operator="equal">
      <formula>"Catastrófico"</formula>
    </cfRule>
    <cfRule type="cellIs" dxfId="438" priority="9" operator="equal">
      <formula>"Mayor"</formula>
    </cfRule>
    <cfRule type="cellIs" dxfId="437" priority="10" operator="equal">
      <formula>"Moderado"</formula>
    </cfRule>
    <cfRule type="cellIs" dxfId="436" priority="11" operator="equal">
      <formula>"Menor"</formula>
    </cfRule>
    <cfRule type="cellIs" dxfId="435" priority="12" operator="equal">
      <formula>"Leve"</formula>
    </cfRule>
  </conditionalFormatting>
  <conditionalFormatting sqref="L17 L19 L21 L23 L25 L27">
    <cfRule type="cellIs" dxfId="434" priority="37" operator="equal">
      <formula>"Catastrófico"</formula>
    </cfRule>
    <cfRule type="cellIs" dxfId="433" priority="38" operator="equal">
      <formula>"Mayor"</formula>
    </cfRule>
    <cfRule type="cellIs" dxfId="432" priority="39" operator="equal">
      <formula>"Moderado"</formula>
    </cfRule>
    <cfRule type="cellIs" dxfId="431" priority="40" operator="equal">
      <formula>"Menor"</formula>
    </cfRule>
    <cfRule type="cellIs" dxfId="430" priority="41" operator="equal">
      <formula>"Leve"</formula>
    </cfRule>
  </conditionalFormatting>
  <conditionalFormatting sqref="N9:N15 AD9:AD28">
    <cfRule type="cellIs" dxfId="429" priority="4" operator="equal">
      <formula>"Extremo"</formula>
    </cfRule>
    <cfRule type="cellIs" dxfId="428" priority="5" operator="equal">
      <formula>"Alto"</formula>
    </cfRule>
    <cfRule type="cellIs" dxfId="427" priority="6" operator="equal">
      <formula>"Moderado"</formula>
    </cfRule>
    <cfRule type="cellIs" dxfId="426" priority="7" operator="equal">
      <formula>"Bajo"</formula>
    </cfRule>
  </conditionalFormatting>
  <conditionalFormatting sqref="N17 N19 N21 N23 N25 N27">
    <cfRule type="cellIs" dxfId="425" priority="33" operator="equal">
      <formula>"Extremo"</formula>
    </cfRule>
    <cfRule type="cellIs" dxfId="424" priority="34" operator="equal">
      <formula>"Alto"</formula>
    </cfRule>
    <cfRule type="cellIs" dxfId="423" priority="35" operator="equal">
      <formula>"Moderado"</formula>
    </cfRule>
    <cfRule type="cellIs" dxfId="422" priority="36" operator="equal">
      <formula>"Bajo"</formula>
    </cfRule>
  </conditionalFormatting>
  <conditionalFormatting sqref="P9:P14">
    <cfRule type="expression" dxfId="421" priority="1" stopIfTrue="1">
      <formula>NOT(ISERROR(SEARCH("TOLERABLE",P9)))</formula>
    </cfRule>
    <cfRule type="expression" dxfId="420" priority="2" stopIfTrue="1">
      <formula>NOT(ISERROR(SEARCH("IMPORTANTE",P9)))</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4A83-1122-460A-A641-3359E9873F07}">
  <sheetPr>
    <tabColor theme="9"/>
  </sheetPr>
  <dimension ref="A1:AK30"/>
  <sheetViews>
    <sheetView topLeftCell="E1" workbookViewId="0">
      <selection activeCell="E1" sqref="E1:AG1"/>
    </sheetView>
  </sheetViews>
  <sheetFormatPr baseColWidth="10" defaultRowHeight="15"/>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c r="D5" s="255"/>
      <c r="E5" s="255"/>
      <c r="F5" s="255"/>
      <c r="G5" s="255"/>
      <c r="H5" s="256" t="s">
        <v>7</v>
      </c>
      <c r="I5" s="256"/>
      <c r="J5" s="255"/>
      <c r="K5" s="255"/>
      <c r="L5" s="255"/>
      <c r="M5" s="255"/>
      <c r="N5" s="255"/>
      <c r="O5" s="256" t="s">
        <v>9</v>
      </c>
      <c r="P5" s="256"/>
      <c r="Q5" s="418"/>
      <c r="R5" s="419"/>
      <c r="S5" s="419"/>
      <c r="T5" s="419"/>
      <c r="U5" s="419"/>
      <c r="V5" s="419"/>
      <c r="W5" s="419"/>
      <c r="X5" s="419"/>
      <c r="Y5" s="419"/>
      <c r="Z5" s="419"/>
      <c r="AA5" s="419"/>
      <c r="AB5" s="419"/>
      <c r="AC5" s="419"/>
      <c r="AD5" s="419"/>
      <c r="AE5" s="420"/>
      <c r="AF5" s="152" t="s">
        <v>11</v>
      </c>
      <c r="AG5" s="417"/>
      <c r="AH5" s="417"/>
      <c r="AI5" s="417"/>
      <c r="AJ5" s="417"/>
      <c r="AK5" s="41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409.5">
      <c r="A9" s="231">
        <v>1</v>
      </c>
      <c r="B9" s="232" t="s">
        <v>71</v>
      </c>
      <c r="C9" s="232" t="s">
        <v>261</v>
      </c>
      <c r="D9" s="232" t="s">
        <v>262</v>
      </c>
      <c r="E9" s="233" t="s">
        <v>263</v>
      </c>
      <c r="F9" s="232" t="s">
        <v>601</v>
      </c>
      <c r="G9" s="232" t="s">
        <v>76</v>
      </c>
      <c r="H9" s="226" t="str">
        <f>IF(G9="","",IF('[14]Mapa final'!G9='[14]Tabla probabilidad'!$C$4,"MUY BAJA",IF('[14]Mapa final'!G9='[14]Tabla probabilidad'!$C$5,"BAJA",IF('[14]Mapa final'!G9='[14]Tabla probabilidad'!$C$6,"MEDIA",IF('[14]Mapa final'!G9='[14]Tabla probabilidad'!$C$7,"ALTA",IF('[14]Mapa final'!G9='[14]Tabla probabilidad'!$C$8,"MUY ALTA"))))))</f>
        <v>ALTA</v>
      </c>
      <c r="I9" s="225">
        <f>IF(H9="","",IF(H9="Muy Baja",0.2,IF(H9="Baja",0.4,IF(H9="Media",0.6,IF(H9="Alta",0.8,IF(H9="Muy Alta",1,))))))</f>
        <v>0.8</v>
      </c>
      <c r="J9" s="224" t="s">
        <v>264</v>
      </c>
      <c r="K9" s="225" t="str">
        <f>IF(J9="","",IF(NOT(ISERROR(MATCH(J9,'[14]Tabla Impacto'!$B$37:$B$39,0))),'[14]Tabla Impacto'!$F$37&amp;"Por favor no seleccionar los criterios de impacto(Afectación Económica o presupuestal y Pérdida Reputacional)",J9))</f>
        <v xml:space="preserve">     Genera consecuencias catastroficas sobre la entidad</v>
      </c>
      <c r="L9" s="226" t="str">
        <f>IF(OR(J9='[14]Tabla Impacto'!$F$25,J9='[14]Tabla Impacto'!$F$31),"Leve",IF(OR(J9='[14]Tabla Impacto'!$F$26,J9='[14]Tabla Impacto'!$F$32),"Menor",IF(OR(J9='[14]Tabla Impacto'!$F$27,J9='[14]Tabla Impacto'!$F$33,J9='[14]Tabla Impacto'!$F$37),"Moderado",IF(OR(J9='[14]Tabla Impacto'!$F$28,J9='[14]Tabla Impacto'!$F$34,J9='[14]Tabla Impacto'!$F$38),"Mayor",IF(OR(J9='[14]Tabla Impacto'!$F$29,J9='[14]Tabla Impacto'!$F$35,J9='[14]Tabla Impacto'!$F$39),"Catastrófico","")))))</f>
        <v>Catastrófico</v>
      </c>
      <c r="M9" s="225">
        <f>IF(L9="","",IF(L9="Leve",0.2,IF(L9="Menor",0.4,IF(L9="Moderado",0.6,IF(L9="Mayor",0.8,IF(L9="Catastrófico",1,))))))</f>
        <v>1</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23">
        <v>1</v>
      </c>
      <c r="P9" s="100" t="s">
        <v>265</v>
      </c>
      <c r="Q9" s="24" t="s">
        <v>266</v>
      </c>
      <c r="R9" s="23" t="s">
        <v>186</v>
      </c>
      <c r="S9" s="101" t="s">
        <v>122</v>
      </c>
      <c r="T9" s="101" t="s">
        <v>267</v>
      </c>
      <c r="U9" s="25" t="str">
        <f>IF(AND(S9="Preventivo",T9="Automático"),"50%",IF(AND(S9="Preventivo",T9="Manual"),"40%",IF(AND(S9="Detectivo",T9="Automático"),"40%",IF(AND(S9="Detectivo",T9="Manual"),"30%",IF(AND(S9="Correctivo",T9="Automático"),"35%",IF(AND(S9="Correctivo",T9="Manual"),"25%",""))))))</f>
        <v>25%</v>
      </c>
      <c r="V9" s="101" t="s">
        <v>70</v>
      </c>
      <c r="W9" s="101" t="s">
        <v>64</v>
      </c>
      <c r="X9" s="101" t="s">
        <v>65</v>
      </c>
      <c r="Y9" s="26">
        <f>IFERROR(IF(R9="Probabilidad",(I9-(+I9*U9)),IF(R9="Impacto",I9,"")),"")</f>
        <v>0.60000000000000009</v>
      </c>
      <c r="Z9" s="19" t="str">
        <f>IFERROR(IF(Y9="","",IF(Y9&lt;=0.2,"Muy Baja",IF(Y9&lt;=0.4,"Baja",IF(Y9&lt;=0.6,"Media",IF(Y9&lt;=0.8,"Alta","Muy Alta"))))),"")</f>
        <v>Media</v>
      </c>
      <c r="AA9" s="25">
        <f>+Y9</f>
        <v>0.60000000000000009</v>
      </c>
      <c r="AB9" s="19" t="str">
        <f>IFERROR(IF(AC9="","",IF(AC9&lt;=0.2,"Leve",IF(AC9&lt;=0.4,"Menor",IF(AC9&lt;=0.6,"Moderado",IF(AC9&lt;=0.8,"Mayor","Catastrófico"))))),"")</f>
        <v>Catastrófico</v>
      </c>
      <c r="AC9" s="25">
        <f>IFERROR(IF(R9="Impacto",(M9-(+M9*U9)),IF(R9="Probabilidad",M9,"")),"")</f>
        <v>1</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01" t="s">
        <v>66</v>
      </c>
      <c r="AF9" s="18"/>
      <c r="AG9" s="12"/>
      <c r="AH9" s="27"/>
      <c r="AI9" s="27"/>
      <c r="AJ9" s="18"/>
      <c r="AK9" s="12"/>
    </row>
    <row r="10" spans="1:37">
      <c r="A10" s="231"/>
      <c r="B10" s="232"/>
      <c r="C10" s="232"/>
      <c r="D10" s="232"/>
      <c r="E10" s="233"/>
      <c r="F10" s="232"/>
      <c r="G10" s="232"/>
      <c r="H10" s="226"/>
      <c r="I10" s="225"/>
      <c r="J10" s="224"/>
      <c r="K10" s="225">
        <f ca="1">IF(NOT(ISERROR(MATCH(J10,_xlfn.ANCHORARRAY(E13),0))),#REF!&amp;"Por favor no seleccionar los criterios de impacto",J10)</f>
        <v>0</v>
      </c>
      <c r="L10" s="226"/>
      <c r="M10" s="225"/>
      <c r="N10" s="227"/>
      <c r="O10" s="23">
        <v>2</v>
      </c>
      <c r="P10" s="24"/>
      <c r="Q10" s="24"/>
      <c r="R10" s="23" t="str">
        <f t="shared" ref="R10" si="0">IF(OR(S10="Preventivo",S10="Detectivo"),"Probabilidad",IF(S10="Correctivo","Impacto",""))</f>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166.5">
      <c r="A11" s="231">
        <v>2</v>
      </c>
      <c r="B11" s="232"/>
      <c r="C11" s="232"/>
      <c r="D11" s="232"/>
      <c r="E11" s="233"/>
      <c r="F11" s="232"/>
      <c r="G11" s="232"/>
      <c r="H11" s="226" t="str">
        <f>IF(G11="","",IF('[14]Mapa final'!G11='[14]Tabla probabilidad'!$C$4,"MUY BAJA",IF('[14]Mapa final'!G11='[14]Tabla probabilidad'!$C$5,"BAJA",IF('[14]Mapa final'!G11='[14]Tabla probabilidad'!$C$6,"MEDIA",IF('[14]Mapa final'!G11='[14]Tabla probabilidad'!$C$7,"ALTA",IF('[14]Mapa final'!G11='[14]Tabla probabilidad'!$C$8,"MUY ALTA"))))))</f>
        <v/>
      </c>
      <c r="I11" s="225" t="str">
        <f t="shared" ref="I11" si="8">IF(H11="","",IF(H11="Muy Baja",0.2,IF(H11="Baja",0.4,IF(H11="Media",0.6,IF(H11="Alta",0.8,IF(H11="Muy Alta",1,))))))</f>
        <v/>
      </c>
      <c r="J11" s="224"/>
      <c r="K11" s="225"/>
      <c r="L11" s="226" t="str">
        <f>IF(OR(J11='[14]Tabla Impacto'!$F$25,J11='[14]Tabla Impacto'!$F$31),"Leve",IF(OR(J11='[14]Tabla Impacto'!$F$26,J11='[14]Tabla Impacto'!$F$32),"Menor",IF(OR(J11='[14]Tabla Impacto'!$F$27,J11='[14]Tabla Impacto'!$F$33,J11='[14]Tabla Impacto'!$F$37),"Moderado",IF(OR(J11='[14]Tabla Impacto'!$F$28,J11='[14]Tabla Impacto'!$F$34,J11='[14]Tabla Impacto'!$F$38),"Mayor",IF(OR(J11='[14]Tabla Impacto'!$F$29,J11='[14]Tabla Impacto'!$F$35,J11='[14]Tabla Impacto'!$F$39),"Catastrófico","")))))</f>
        <v/>
      </c>
      <c r="M11" s="225" t="str">
        <f t="shared" ref="M11" si="9">IF(L11="","",IF(L11="Leve",0.2,IF(L11="Menor",0.4,IF(L11="Moderado",0.6,IF(L11="Mayor",0.8,IF(L11="Catastrófico",1,))))))</f>
        <v/>
      </c>
      <c r="N11" s="227"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23">
        <v>1</v>
      </c>
      <c r="P11" s="24"/>
      <c r="Q11" s="24"/>
      <c r="R11" s="23"/>
      <c r="S11" s="101"/>
      <c r="T11" s="12" t="s">
        <v>267</v>
      </c>
      <c r="U11" s="25"/>
      <c r="V11" s="101" t="s">
        <v>70</v>
      </c>
      <c r="W11" s="101" t="s">
        <v>64</v>
      </c>
      <c r="X11" s="12" t="s">
        <v>268</v>
      </c>
      <c r="Y11" s="26" t="str">
        <f t="shared" si="2"/>
        <v/>
      </c>
      <c r="Z11" s="19" t="str">
        <f>IFERROR(IF(Y11="","",IF(Y11&lt;=0.2,"Muy Baja",IF(Y11&lt;=0.4,"Baja",IF(Y11&lt;=0.6,"Media",IF(Y11&lt;=0.8,"Alta","Muy Alta"))))),"")</f>
        <v/>
      </c>
      <c r="AA11" s="25" t="str">
        <f>+Y11</f>
        <v/>
      </c>
      <c r="AB11" s="19" t="str">
        <f>IFERROR(IF(AC11="","",IF(AC11&lt;=0.2,"Leve",IF(AC11&lt;=0.4,"Menor",IF(AC11&lt;=0.6,"Moderado",IF(AC11&lt;=0.8,"Mayor","Catastrófico"))))),"")</f>
        <v/>
      </c>
      <c r="AC11" s="25" t="str">
        <f t="shared" si="6"/>
        <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
      </c>
      <c r="AE11" s="12"/>
      <c r="AF11" s="18"/>
      <c r="AG11" s="12"/>
      <c r="AH11" s="27"/>
      <c r="AI11" s="27"/>
      <c r="AJ11" s="18"/>
      <c r="AK11" s="12"/>
    </row>
    <row r="12" spans="1:37">
      <c r="A12" s="231"/>
      <c r="B12" s="232"/>
      <c r="C12" s="232"/>
      <c r="D12" s="232"/>
      <c r="E12" s="233"/>
      <c r="F12" s="232"/>
      <c r="G12" s="232"/>
      <c r="H12" s="226"/>
      <c r="I12" s="225"/>
      <c r="J12" s="224"/>
      <c r="K12" s="225">
        <f ca="1">IF(NOT(ISERROR(MATCH(J12,_xlfn.ANCHORARRAY(E15),0))),#REF!&amp;"Por favor no seleccionar los criterios de impacto",J12)</f>
        <v>0</v>
      </c>
      <c r="L12" s="226"/>
      <c r="M12" s="225"/>
      <c r="N12" s="227"/>
      <c r="O12" s="23">
        <v>2</v>
      </c>
      <c r="P12" s="24"/>
      <c r="Q12" s="24"/>
      <c r="R12" s="23" t="str">
        <f t="shared" ref="R12:R28" si="11">IF(OR(S12="Preventivo",S12="Detectivo"),"Probabilidad",IF(S12="Correctivo","Impacto",""))</f>
        <v/>
      </c>
      <c r="S12" s="12"/>
      <c r="T12" s="12"/>
      <c r="U12" s="25" t="str">
        <f t="shared" ref="U12" si="12">IF(AND(S12="Preventivo",T12="Automático"),"50%",IF(AND(S12="Preventivo",T12="Manual"),"40%",IF(AND(S12="Detectivo",T12="Automático"),"40%",IF(AND(S12="Detectivo",T12="Manual"),"30%",IF(AND(S12="Correctivo",T12="Automático"),"35%",IF(AND(S12="Correctivo",T12="Manual"),"25%",""))))))</f>
        <v/>
      </c>
      <c r="V12" s="12"/>
      <c r="W12" s="12"/>
      <c r="X12" s="101"/>
      <c r="Y12" s="26" t="str">
        <f t="shared" si="2"/>
        <v/>
      </c>
      <c r="Z12" s="19" t="str">
        <f t="shared" ref="Z12:Z28" si="13">IFERROR(IF(Y12="","",IF(Y12&lt;=0.2,"Muy Baja",IF(Y12&lt;=0.4,"Baja",IF(Y12&lt;=0.6,"Media",IF(Y12&lt;=0.8,"Alta","Muy Alta"))))),"")</f>
        <v/>
      </c>
      <c r="AA12" s="25" t="str">
        <f t="shared" ref="AA12" si="14">+Y12</f>
        <v/>
      </c>
      <c r="AB12" s="19" t="str">
        <f t="shared" ref="AB12:AB28" si="15">IFERROR(IF(AC12="","",IF(AC12&lt;=0.2,"Leve",IF(AC12&lt;=0.4,"Menor",IF(AC12&lt;=0.6,"Moderado",IF(AC12&lt;=0.8,"Mayor","Catastrófico"))))),"")</f>
        <v/>
      </c>
      <c r="AC12" s="25" t="str">
        <f t="shared" si="6"/>
        <v/>
      </c>
      <c r="AD12" s="2" t="str">
        <f t="shared" ref="AD12" si="16">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2"/>
      <c r="AF12" s="18"/>
      <c r="AG12" s="12"/>
      <c r="AH12" s="27"/>
      <c r="AI12" s="27"/>
      <c r="AJ12" s="18"/>
      <c r="AK12" s="12"/>
    </row>
    <row r="13" spans="1:37">
      <c r="A13" s="231">
        <v>3</v>
      </c>
      <c r="B13" s="232"/>
      <c r="C13" s="232"/>
      <c r="D13" s="232"/>
      <c r="E13" s="233"/>
      <c r="F13" s="232"/>
      <c r="G13" s="232"/>
      <c r="H13" s="226" t="str">
        <f>IF(G13="","",IF('[14]Mapa final'!G13='[14]Tabla probabilidad'!$C$4,"MUY BAJA",IF('[14]Mapa final'!G13='[14]Tabla probabilidad'!$C$5,"BAJA",IF('[14]Mapa final'!G13='[14]Tabla probabilidad'!$C$6,"MEDIA",IF('[14]Mapa final'!G13='[14]Tabla probabilidad'!$C$7,"ALTA",IF('[14]Mapa final'!G13='[14]Tabla probabilidad'!$C$8,"MUY ALTA"))))))</f>
        <v/>
      </c>
      <c r="I13" s="225" t="str">
        <f t="shared" ref="I13" si="17">IF(H13="","",IF(H13="Muy Baja",0.2,IF(H13="Baja",0.4,IF(H13="Media",0.6,IF(H13="Alta",0.8,IF(H13="Muy Alta",1,))))))</f>
        <v/>
      </c>
      <c r="J13" s="224"/>
      <c r="K13" s="225" t="str">
        <f>IF(J13="","",IF(NOT(ISERROR(MATCH(J13,'[14]Tabla Impacto'!$B$37:$B$39,0))),'[14]Tabla Impacto'!$F$37&amp;"Por favor no seleccionar los criterios de impacto(Afectación Económica o presupuestal y Pérdida Reputacional)",J13))</f>
        <v/>
      </c>
      <c r="L13" s="226" t="str">
        <f>IF(OR(J13='[14]Tabla Impacto'!$F$25,J13='[14]Tabla Impacto'!$F$31),"Leve",IF(OR(J13='[14]Tabla Impacto'!$F$26,J13='[14]Tabla Impacto'!$F$32),"Menor",IF(OR(J13='[14]Tabla Impacto'!$F$27,J13='[14]Tabla Impacto'!$F$33,J13='[14]Tabla Impacto'!$F$37),"Moderado",IF(OR(J13='[14]Tabla Impacto'!$F$28,J13='[14]Tabla Impacto'!$F$34,J13='[14]Tabla Impacto'!$F$38),"Mayor",IF(OR(J13='[14]Tabla Impacto'!$F$29,J13='[14]Tabla Impacto'!$F$35,J13='[14]Tabla Impacto'!$F$39),"Catastrófico","")))))</f>
        <v/>
      </c>
      <c r="M13" s="225" t="str">
        <f t="shared" ref="M13" si="18">IF(L13="","",IF(L13="Leve",0.2,IF(L13="Menor",0.4,IF(L13="Moderado",0.6,IF(L13="Mayor",0.8,IF(L13="Catastrófico",1,))))))</f>
        <v/>
      </c>
      <c r="N13" s="227"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11"/>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31"/>
      <c r="B14" s="232"/>
      <c r="C14" s="232"/>
      <c r="D14" s="232"/>
      <c r="E14" s="233"/>
      <c r="F14" s="232"/>
      <c r="G14" s="232"/>
      <c r="H14" s="226"/>
      <c r="I14" s="225"/>
      <c r="J14" s="224"/>
      <c r="K14" s="225">
        <f ca="1">IF(NOT(ISERROR(MATCH(J14,_xlfn.ANCHORARRAY(E17),0))),#REF!&amp;"Por favor no seleccionar los criterios de impacto",J14)</f>
        <v>0</v>
      </c>
      <c r="L14" s="226"/>
      <c r="M14" s="225"/>
      <c r="N14" s="227"/>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3"/>
        <v/>
      </c>
      <c r="AA14" s="25" t="str">
        <f t="shared" ref="AA14" si="21">+Y14</f>
        <v/>
      </c>
      <c r="AB14" s="19" t="str">
        <f t="shared" si="15"/>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31">
        <v>4</v>
      </c>
      <c r="B15" s="232"/>
      <c r="C15" s="232"/>
      <c r="D15" s="232"/>
      <c r="E15" s="233"/>
      <c r="F15" s="232"/>
      <c r="G15" s="232"/>
      <c r="H15" s="226" t="str">
        <f>IF(G15="","",IF('[14]Mapa final'!G15='[14]Tabla probabilidad'!$C$4,"MUY BAJA",IF('[14]Mapa final'!G15='[14]Tabla probabilidad'!$C$5,"BAJA",IF('[14]Mapa final'!G15='[14]Tabla probabilidad'!$C$6,"MEDIA",IF('[14]Mapa final'!G15='[14]Tabla probabilidad'!$C$7,"ALTA",IF('[14]Mapa final'!G15='[14]Tabla probabilidad'!$C$8,"MUY ALTA"))))))</f>
        <v/>
      </c>
      <c r="I15" s="225" t="str">
        <f t="shared" ref="I15" si="23">IF(H15="","",IF(H15="Muy Baja",0.2,IF(H15="Baja",0.4,IF(H15="Media",0.6,IF(H15="Alta",0.8,IF(H15="Muy Alta",1,))))))</f>
        <v/>
      </c>
      <c r="J15" s="224"/>
      <c r="K15" s="225" t="str">
        <f>IF(J15="","",IF(NOT(ISERROR(MATCH(J15,'[14]Tabla Impacto'!$B$37:$B$39,0))),'[14]Tabla Impacto'!$F$37&amp;"Por favor no seleccionar los criterios de impacto(Afectación Económica o presupuestal y Pérdida Reputacional)",J15))</f>
        <v/>
      </c>
      <c r="L15" s="226" t="str">
        <f>IF(OR(J15='[14]Tabla Impacto'!$F$25,J15='[14]Tabla Impacto'!$F$31),"Leve",IF(OR(J15='[14]Tabla Impacto'!$F$26,J15='[14]Tabla Impacto'!$F$32),"Menor",IF(OR(J15='[14]Tabla Impacto'!$F$27,J15='[14]Tabla Impacto'!$F$33,J15='[14]Tabla Impacto'!$F$37),"Moderado",IF(OR(J15='[14]Tabla Impacto'!$F$28,J15='[14]Tabla Impacto'!$F$34,J15='[14]Tabla Impacto'!$F$38),"Mayor",IF(OR(J15='[14]Tabla Impacto'!$F$29,J15='[14]Tabla Impacto'!$F$35,J15='[14]Tabla Impacto'!$F$39),"Catastrófico","")))))</f>
        <v/>
      </c>
      <c r="M15" s="225" t="str">
        <f t="shared" ref="M15" si="24">IF(L15="","",IF(L15="Leve",0.2,IF(L15="Menor",0.4,IF(L15="Moderado",0.6,IF(L15="Mayor",0.8,IF(L15="Catastrófico",1,))))))</f>
        <v/>
      </c>
      <c r="N15" s="227" t="str">
        <f t="shared" ref="N15" si="25">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11"/>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31"/>
      <c r="B16" s="232"/>
      <c r="C16" s="232"/>
      <c r="D16" s="232"/>
      <c r="E16" s="233"/>
      <c r="F16" s="232"/>
      <c r="G16" s="232"/>
      <c r="H16" s="226"/>
      <c r="I16" s="225"/>
      <c r="J16" s="224"/>
      <c r="K16" s="225">
        <f ca="1">IF(NOT(ISERROR(MATCH(J16,_xlfn.ANCHORARRAY(E19),0))),#REF!&amp;"Por favor no seleccionar los criterios de impacto",J16)</f>
        <v>0</v>
      </c>
      <c r="L16" s="226"/>
      <c r="M16" s="225"/>
      <c r="N16" s="227"/>
      <c r="O16" s="23">
        <v>2</v>
      </c>
      <c r="P16" s="24"/>
      <c r="Q16" s="24"/>
      <c r="R16" s="23" t="str">
        <f t="shared" si="11"/>
        <v/>
      </c>
      <c r="S16" s="12"/>
      <c r="T16" s="12"/>
      <c r="U16" s="25" t="str">
        <f t="shared" ref="U16" si="26">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3"/>
        <v/>
      </c>
      <c r="AA16" s="25" t="str">
        <f t="shared" ref="AA16" si="27">+Y16</f>
        <v/>
      </c>
      <c r="AB16" s="19" t="str">
        <f t="shared" si="15"/>
        <v/>
      </c>
      <c r="AC16" s="25" t="str">
        <f t="shared" si="6"/>
        <v/>
      </c>
      <c r="AD16" s="2" t="str">
        <f t="shared" ref="AD16" si="2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31">
        <v>5</v>
      </c>
      <c r="B17" s="232"/>
      <c r="C17" s="232"/>
      <c r="D17" s="232"/>
      <c r="E17" s="233"/>
      <c r="F17" s="232"/>
      <c r="G17" s="232"/>
      <c r="H17" s="226" t="str">
        <f>IF(G17="","",IF('[14]Mapa final'!G17='[14]Tabla probabilidad'!$C$4,"MUY BAJA",IF('[14]Mapa final'!G17='[14]Tabla probabilidad'!$C$5,"BAJA",IF('[14]Mapa final'!G17='[14]Tabla probabilidad'!$C$6,"MEDIA",IF('[14]Mapa final'!G17='[14]Tabla probabilidad'!$C$7,"ALTA",IF('[14]Mapa final'!G17='[14]Tabla probabilidad'!$C$8,"MUY ALTA"))))))</f>
        <v/>
      </c>
      <c r="I17" s="225" t="str">
        <f t="shared" ref="I17" si="29">IF(H17="","",IF(H17="Muy Baja",0.2,IF(H17="Baja",0.4,IF(H17="Media",0.6,IF(H17="Alta",0.8,IF(H17="Muy Alta",1,))))))</f>
        <v/>
      </c>
      <c r="J17" s="224"/>
      <c r="K17" s="225" t="str">
        <f>IF(J17="","",IF(NOT(ISERROR(MATCH(J17,'[14]Tabla Impacto'!$B$37:$B$39,0))),'[14]Tabla Impacto'!$F$37&amp;"Por favor no seleccionar los criterios de impacto(Afectación Económica o presupuestal y Pérdida Reputacional)",J17))</f>
        <v/>
      </c>
      <c r="L17" s="226" t="str">
        <f>IF(OR(J17='[14]Tabla Impacto'!$F$25,J17='[14]Tabla Impacto'!$F$31),"Leve",IF(OR(J17='[14]Tabla Impacto'!$F$26,J17='[14]Tabla Impacto'!$F$32),"Menor",IF(OR(J17='[14]Tabla Impacto'!$F$27,J17='[14]Tabla Impacto'!$F$33,J17='[14]Tabla Impacto'!$F$37),"Moderado",IF(OR(J17='[14]Tabla Impacto'!$F$28,J17='[14]Tabla Impacto'!$F$34,J17='[14]Tabla Impacto'!$F$38),"Mayor",IF(OR(J17='[14]Tabla Impacto'!$F$29,J17='[14]Tabla Impacto'!$F$35,J17='[14]Tabla Impacto'!$F$39),"Catastrófico","")))))</f>
        <v/>
      </c>
      <c r="M17" s="225" t="str">
        <f t="shared" ref="M17" si="30">IF(L17="","",IF(L17="Leve",0.2,IF(L17="Menor",0.4,IF(L17="Moderado",0.6,IF(L17="Mayor",0.8,IF(L17="Catastrófico",1,))))))</f>
        <v/>
      </c>
      <c r="N17" s="227" t="str">
        <f t="shared" ref="N17" si="3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11"/>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31"/>
      <c r="B18" s="232"/>
      <c r="C18" s="232"/>
      <c r="D18" s="232"/>
      <c r="E18" s="233"/>
      <c r="F18" s="232"/>
      <c r="G18" s="232"/>
      <c r="H18" s="226"/>
      <c r="I18" s="225"/>
      <c r="J18" s="224"/>
      <c r="K18" s="225">
        <f ca="1">IF(NOT(ISERROR(MATCH(J18,_xlfn.ANCHORARRAY(E21),0))),#REF!&amp;"Por favor no seleccionar los criterios de impacto",J18)</f>
        <v>0</v>
      </c>
      <c r="L18" s="226"/>
      <c r="M18" s="225"/>
      <c r="N18" s="227"/>
      <c r="O18" s="23">
        <v>2</v>
      </c>
      <c r="P18" s="24"/>
      <c r="Q18" s="24"/>
      <c r="R18" s="23" t="str">
        <f t="shared" si="11"/>
        <v/>
      </c>
      <c r="S18" s="12"/>
      <c r="T18" s="12"/>
      <c r="U18" s="25" t="str">
        <f t="shared" ref="U18" si="32">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3"/>
        <v/>
      </c>
      <c r="AA18" s="25" t="str">
        <f t="shared" ref="AA18" si="33">+Y18</f>
        <v/>
      </c>
      <c r="AB18" s="19" t="str">
        <f t="shared" si="15"/>
        <v/>
      </c>
      <c r="AC18" s="25" t="str">
        <f t="shared" si="6"/>
        <v/>
      </c>
      <c r="AD18" s="2" t="str">
        <f t="shared" ref="AD18" si="3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31">
        <v>6</v>
      </c>
      <c r="B19" s="232"/>
      <c r="C19" s="232"/>
      <c r="D19" s="232"/>
      <c r="E19" s="233"/>
      <c r="F19" s="232"/>
      <c r="G19" s="232"/>
      <c r="H19" s="226" t="str">
        <f>IF(G19="","",IF('[14]Mapa final'!G19='[14]Tabla probabilidad'!$C$4,"MUY BAJA",IF('[14]Mapa final'!G19='[14]Tabla probabilidad'!$C$5,"BAJA",IF('[14]Mapa final'!G19='[14]Tabla probabilidad'!$C$6,"MEDIA",IF('[14]Mapa final'!G19='[14]Tabla probabilidad'!$C$7,"ALTA",IF('[14]Mapa final'!G19='[14]Tabla probabilidad'!$C$8,"MUY ALTA"))))))</f>
        <v/>
      </c>
      <c r="I19" s="225" t="str">
        <f t="shared" ref="I19" si="35">IF(H19="","",IF(H19="Muy Baja",0.2,IF(H19="Baja",0.4,IF(H19="Media",0.6,IF(H19="Alta",0.8,IF(H19="Muy Alta",1,))))))</f>
        <v/>
      </c>
      <c r="J19" s="224"/>
      <c r="K19" s="225" t="str">
        <f>IF(J19="","",IF(NOT(ISERROR(MATCH(J19,'[14]Tabla Impacto'!$B$37:$B$39,0))),'[14]Tabla Impacto'!$F$37&amp;"Por favor no seleccionar los criterios de impacto(Afectación Económica o presupuestal y Pérdida Reputacional)",J19))</f>
        <v/>
      </c>
      <c r="L19" s="226" t="str">
        <f>IF(OR(J19='[14]Tabla Impacto'!$F$25,J19='[14]Tabla Impacto'!$F$31),"Leve",IF(OR(J19='[14]Tabla Impacto'!$F$26,J19='[14]Tabla Impacto'!$F$32),"Menor",IF(OR(J19='[14]Tabla Impacto'!$F$27,J19='[14]Tabla Impacto'!$F$33,J19='[14]Tabla Impacto'!$F$37),"Moderado",IF(OR(J19='[14]Tabla Impacto'!$F$28,J19='[14]Tabla Impacto'!$F$34,J19='[14]Tabla Impacto'!$F$38),"Mayor",IF(OR(J19='[14]Tabla Impacto'!$F$29,J19='[14]Tabla Impacto'!$F$35,J19='[14]Tabla Impacto'!$F$39),"Catastrófico","")))))</f>
        <v/>
      </c>
      <c r="M19" s="225" t="str">
        <f t="shared" ref="M19" si="36">IF(L19="","",IF(L19="Leve",0.2,IF(L19="Menor",0.4,IF(L19="Moderado",0.6,IF(L19="Mayor",0.8,IF(L19="Catastrófico",1,))))))</f>
        <v/>
      </c>
      <c r="N19" s="227" t="str">
        <f t="shared" ref="N19" si="37">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1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31"/>
      <c r="B20" s="232"/>
      <c r="C20" s="232"/>
      <c r="D20" s="232"/>
      <c r="E20" s="233"/>
      <c r="F20" s="232"/>
      <c r="G20" s="232"/>
      <c r="H20" s="226"/>
      <c r="I20" s="225"/>
      <c r="J20" s="224"/>
      <c r="K20" s="225">
        <f ca="1">IF(NOT(ISERROR(MATCH(J20,_xlfn.ANCHORARRAY(E23),0))),#REF!&amp;"Por favor no seleccionar los criterios de impacto",J20)</f>
        <v>0</v>
      </c>
      <c r="L20" s="226"/>
      <c r="M20" s="225"/>
      <c r="N20" s="227"/>
      <c r="O20" s="23">
        <v>2</v>
      </c>
      <c r="P20" s="24"/>
      <c r="Q20" s="24"/>
      <c r="R20" s="23" t="str">
        <f t="shared" si="11"/>
        <v/>
      </c>
      <c r="S20" s="12"/>
      <c r="T20" s="12"/>
      <c r="U20" s="25" t="str">
        <f t="shared" ref="U20" si="38">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3"/>
        <v/>
      </c>
      <c r="AA20" s="25" t="str">
        <f t="shared" ref="AA20" si="39">+Y20</f>
        <v/>
      </c>
      <c r="AB20" s="19" t="str">
        <f t="shared" si="15"/>
        <v/>
      </c>
      <c r="AC20" s="25" t="str">
        <f t="shared" si="6"/>
        <v/>
      </c>
      <c r="AD20" s="2" t="str">
        <f t="shared" ref="AD20" si="4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31">
        <v>7</v>
      </c>
      <c r="B21" s="232"/>
      <c r="C21" s="232"/>
      <c r="D21" s="232"/>
      <c r="E21" s="233"/>
      <c r="F21" s="232"/>
      <c r="G21" s="232"/>
      <c r="H21" s="226" t="str">
        <f>IF(G21="","",IF('[14]Mapa final'!G21='[14]Tabla probabilidad'!$C$4,"MUY BAJA",IF('[14]Mapa final'!G21='[14]Tabla probabilidad'!$C$5,"BAJA",IF('[14]Mapa final'!G21='[14]Tabla probabilidad'!$C$6,"MEDIA",IF('[14]Mapa final'!G21='[14]Tabla probabilidad'!$C$7,"ALTA",IF('[14]Mapa final'!G21='[14]Tabla probabilidad'!$C$8,"MUY ALTA"))))))</f>
        <v/>
      </c>
      <c r="I21" s="225" t="str">
        <f t="shared" ref="I21" si="41">IF(H21="","",IF(H21="Muy Baja",0.2,IF(H21="Baja",0.4,IF(H21="Media",0.6,IF(H21="Alta",0.8,IF(H21="Muy Alta",1,))))))</f>
        <v/>
      </c>
      <c r="J21" s="224"/>
      <c r="K21" s="225" t="str">
        <f>IF(J21="","",IF(NOT(ISERROR(MATCH(J21,'[14]Tabla Impacto'!$B$37:$B$39,0))),'[14]Tabla Impacto'!$F$37&amp;"Por favor no seleccionar los criterios de impacto(Afectación Económica o presupuestal y Pérdida Reputacional)",J21))</f>
        <v/>
      </c>
      <c r="L21" s="226" t="str">
        <f>IF(OR(J21='[14]Tabla Impacto'!$F$25,J21='[14]Tabla Impacto'!$F$31),"Leve",IF(OR(J21='[14]Tabla Impacto'!$F$26,J21='[14]Tabla Impacto'!$F$32),"Menor",IF(OR(J21='[14]Tabla Impacto'!$F$27,J21='[14]Tabla Impacto'!$F$33,J21='[14]Tabla Impacto'!$F$37),"Moderado",IF(OR(J21='[14]Tabla Impacto'!$F$28,J21='[14]Tabla Impacto'!$F$34,J21='[14]Tabla Impacto'!$F$38),"Mayor",IF(OR(J21='[14]Tabla Impacto'!$F$29,J21='[14]Tabla Impacto'!$F$35,J21='[14]Tabla Impacto'!$F$39),"Catastrófico","")))))</f>
        <v/>
      </c>
      <c r="M21" s="225" t="str">
        <f t="shared" ref="M21" si="42">IF(L21="","",IF(L21="Leve",0.2,IF(L21="Menor",0.4,IF(L21="Moderado",0.6,IF(L21="Mayor",0.8,IF(L21="Catastrófico",1,))))))</f>
        <v/>
      </c>
      <c r="N21" s="227" t="str">
        <f t="shared" ref="N21" si="43">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1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31"/>
      <c r="B22" s="232"/>
      <c r="C22" s="232"/>
      <c r="D22" s="232"/>
      <c r="E22" s="233"/>
      <c r="F22" s="232"/>
      <c r="G22" s="232"/>
      <c r="H22" s="226"/>
      <c r="I22" s="225"/>
      <c r="J22" s="224"/>
      <c r="K22" s="225">
        <f ca="1">IF(NOT(ISERROR(MATCH(J22,_xlfn.ANCHORARRAY(E25),0))),#REF!&amp;"Por favor no seleccionar los criterios de impacto",J22)</f>
        <v>0</v>
      </c>
      <c r="L22" s="226"/>
      <c r="M22" s="225"/>
      <c r="N22" s="227"/>
      <c r="O22" s="23">
        <v>2</v>
      </c>
      <c r="P22" s="24"/>
      <c r="Q22" s="24"/>
      <c r="R22" s="23" t="str">
        <f t="shared" si="11"/>
        <v/>
      </c>
      <c r="S22" s="12"/>
      <c r="T22" s="12"/>
      <c r="U22" s="25" t="str">
        <f t="shared" ref="U22" si="44">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3"/>
        <v/>
      </c>
      <c r="AA22" s="25" t="str">
        <f t="shared" ref="AA22" si="45">+Y22</f>
        <v/>
      </c>
      <c r="AB22" s="19" t="str">
        <f t="shared" si="15"/>
        <v/>
      </c>
      <c r="AC22" s="25" t="str">
        <f t="shared" si="6"/>
        <v/>
      </c>
      <c r="AD22" s="2" t="str">
        <f t="shared" ref="AD22" si="46">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31">
        <v>8</v>
      </c>
      <c r="B23" s="232"/>
      <c r="C23" s="232"/>
      <c r="D23" s="232"/>
      <c r="E23" s="233"/>
      <c r="F23" s="232"/>
      <c r="G23" s="232"/>
      <c r="H23" s="226" t="str">
        <f>IF(G23="","",IF('[14]Mapa final'!G23='[14]Tabla probabilidad'!$C$4,"MUY BAJA",IF('[14]Mapa final'!G23='[14]Tabla probabilidad'!$C$5,"BAJA",IF('[14]Mapa final'!G23='[14]Tabla probabilidad'!$C$6,"MEDIA",IF('[14]Mapa final'!G23='[14]Tabla probabilidad'!$C$7,"ALTA",IF('[14]Mapa final'!G23='[14]Tabla probabilidad'!$C$8,"MUY ALTA"))))))</f>
        <v/>
      </c>
      <c r="I23" s="225" t="str">
        <f t="shared" ref="I23" si="47">IF(H23="","",IF(H23="Muy Baja",0.2,IF(H23="Baja",0.4,IF(H23="Media",0.6,IF(H23="Alta",0.8,IF(H23="Muy Alta",1,))))))</f>
        <v/>
      </c>
      <c r="J23" s="224"/>
      <c r="K23" s="225" t="str">
        <f>IF(J23="","",IF(NOT(ISERROR(MATCH(J23,'[14]Tabla Impacto'!$B$37:$B$39,0))),'[14]Tabla Impacto'!$F$37&amp;"Por favor no seleccionar los criterios de impacto(Afectación Económica o presupuestal y Pérdida Reputacional)",J23))</f>
        <v/>
      </c>
      <c r="L23" s="226" t="str">
        <f>IF(OR(J23='[14]Tabla Impacto'!$F$25,J23='[14]Tabla Impacto'!$F$31),"Leve",IF(OR(J23='[14]Tabla Impacto'!$F$26,J23='[14]Tabla Impacto'!$F$32),"Menor",IF(OR(J23='[14]Tabla Impacto'!$F$27,J23='[14]Tabla Impacto'!$F$33,J23='[14]Tabla Impacto'!$F$37),"Moderado",IF(OR(J23='[14]Tabla Impacto'!$F$28,J23='[14]Tabla Impacto'!$F$34,J23='[14]Tabla Impacto'!$F$38),"Mayor",IF(OR(J23='[14]Tabla Impacto'!$F$29,J23='[14]Tabla Impacto'!$F$35,J23='[14]Tabla Impacto'!$F$39),"Catastrófico","")))))</f>
        <v/>
      </c>
      <c r="M23" s="225" t="str">
        <f t="shared" ref="M23" si="48">IF(L23="","",IF(L23="Leve",0.2,IF(L23="Menor",0.4,IF(L23="Moderado",0.6,IF(L23="Mayor",0.8,IF(L23="Catastrófico",1,))))))</f>
        <v/>
      </c>
      <c r="N23" s="227" t="str">
        <f t="shared" ref="N23" si="49">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1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31"/>
      <c r="B24" s="232"/>
      <c r="C24" s="232"/>
      <c r="D24" s="232"/>
      <c r="E24" s="233"/>
      <c r="F24" s="232"/>
      <c r="G24" s="232"/>
      <c r="H24" s="226"/>
      <c r="I24" s="225"/>
      <c r="J24" s="224"/>
      <c r="K24" s="225">
        <f ca="1">IF(NOT(ISERROR(MATCH(J24,_xlfn.ANCHORARRAY(E27),0))),#REF!&amp;"Por favor no seleccionar los criterios de impacto",J24)</f>
        <v>0</v>
      </c>
      <c r="L24" s="226"/>
      <c r="M24" s="225"/>
      <c r="N24" s="227"/>
      <c r="O24" s="23">
        <v>2</v>
      </c>
      <c r="P24" s="24"/>
      <c r="Q24" s="24"/>
      <c r="R24" s="23" t="str">
        <f t="shared" si="11"/>
        <v/>
      </c>
      <c r="S24" s="12"/>
      <c r="T24" s="12"/>
      <c r="U24" s="25" t="str">
        <f t="shared" ref="U24" si="50">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3"/>
        <v/>
      </c>
      <c r="AA24" s="25" t="str">
        <f t="shared" ref="AA24" si="51">+Y24</f>
        <v/>
      </c>
      <c r="AB24" s="19" t="str">
        <f t="shared" si="15"/>
        <v/>
      </c>
      <c r="AC24" s="25" t="str">
        <f t="shared" si="6"/>
        <v/>
      </c>
      <c r="AD24" s="2" t="str">
        <f t="shared" ref="AD24" si="52">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31">
        <v>9</v>
      </c>
      <c r="B25" s="232"/>
      <c r="C25" s="232"/>
      <c r="D25" s="232"/>
      <c r="E25" s="233"/>
      <c r="F25" s="232"/>
      <c r="G25" s="232"/>
      <c r="H25" s="226" t="str">
        <f>IF(G25="","",IF('[14]Mapa final'!G25='[14]Tabla probabilidad'!$C$4,"MUY BAJA",IF('[14]Mapa final'!G25='[14]Tabla probabilidad'!$C$5,"BAJA",IF('[14]Mapa final'!G25='[14]Tabla probabilidad'!$C$6,"MEDIA",IF('[14]Mapa final'!G25='[14]Tabla probabilidad'!$C$7,"ALTA",IF('[14]Mapa final'!G25='[14]Tabla probabilidad'!$C$8,"MUY ALTA"))))))</f>
        <v/>
      </c>
      <c r="I25" s="225" t="str">
        <f t="shared" ref="I25" si="53">IF(H25="","",IF(H25="Muy Baja",0.2,IF(H25="Baja",0.4,IF(H25="Media",0.6,IF(H25="Alta",0.8,IF(H25="Muy Alta",1,))))))</f>
        <v/>
      </c>
      <c r="J25" s="224"/>
      <c r="K25" s="225" t="str">
        <f>IF(J25="","",IF(NOT(ISERROR(MATCH(J25,'[14]Tabla Impacto'!$B$37:$B$39,0))),'[14]Tabla Impacto'!$F$37&amp;"Por favor no seleccionar los criterios de impacto(Afectación Económica o presupuestal y Pérdida Reputacional)",J25))</f>
        <v/>
      </c>
      <c r="L25" s="226" t="str">
        <f>IF(OR(J25='[14]Tabla Impacto'!$F$25,J25='[14]Tabla Impacto'!$F$31),"Leve",IF(OR(J25='[14]Tabla Impacto'!$F$26,J25='[14]Tabla Impacto'!$F$32),"Menor",IF(OR(J25='[14]Tabla Impacto'!$F$27,J25='[14]Tabla Impacto'!$F$33,J25='[14]Tabla Impacto'!$F$37),"Moderado",IF(OR(J25='[14]Tabla Impacto'!$F$28,J25='[14]Tabla Impacto'!$F$34,J25='[14]Tabla Impacto'!$F$38),"Mayor",IF(OR(J25='[14]Tabla Impacto'!$F$29,J25='[14]Tabla Impacto'!$F$35,J25='[14]Tabla Impacto'!$F$39),"Catastrófico","")))))</f>
        <v/>
      </c>
      <c r="M25" s="225" t="str">
        <f t="shared" ref="M25" si="54">IF(L25="","",IF(L25="Leve",0.2,IF(L25="Menor",0.4,IF(L25="Moderado",0.6,IF(L25="Mayor",0.8,IF(L25="Catastrófico",1,))))))</f>
        <v/>
      </c>
      <c r="N25" s="227" t="str">
        <f t="shared" ref="N25" si="55">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11"/>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31"/>
      <c r="B26" s="232"/>
      <c r="C26" s="232"/>
      <c r="D26" s="232"/>
      <c r="E26" s="233"/>
      <c r="F26" s="232"/>
      <c r="G26" s="232"/>
      <c r="H26" s="226"/>
      <c r="I26" s="225"/>
      <c r="J26" s="224"/>
      <c r="K26" s="225">
        <f ca="1">IF(NOT(ISERROR(MATCH(J26,_xlfn.ANCHORARRAY(E29),0))),#REF!&amp;"Por favor no seleccionar los criterios de impacto",J26)</f>
        <v>0</v>
      </c>
      <c r="L26" s="226"/>
      <c r="M26" s="225"/>
      <c r="N26" s="227"/>
      <c r="O26" s="23">
        <v>2</v>
      </c>
      <c r="P26" s="24"/>
      <c r="Q26" s="24"/>
      <c r="R26" s="23" t="str">
        <f t="shared" si="11"/>
        <v/>
      </c>
      <c r="S26" s="12"/>
      <c r="T26" s="12"/>
      <c r="U26" s="25" t="str">
        <f t="shared" ref="U26" si="56">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3"/>
        <v/>
      </c>
      <c r="AA26" s="25" t="str">
        <f t="shared" ref="AA26" si="57">+Y26</f>
        <v/>
      </c>
      <c r="AB26" s="19" t="str">
        <f t="shared" si="15"/>
        <v/>
      </c>
      <c r="AC26" s="25" t="str">
        <f t="shared" si="6"/>
        <v/>
      </c>
      <c r="AD26" s="2" t="str">
        <f t="shared" ref="AD26" si="58">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31">
        <v>10</v>
      </c>
      <c r="B27" s="232"/>
      <c r="C27" s="232"/>
      <c r="D27" s="232"/>
      <c r="E27" s="233"/>
      <c r="F27" s="232"/>
      <c r="G27" s="232"/>
      <c r="H27" s="226" t="str">
        <f>IF(G27="","",IF('[14]Mapa final'!G27='[14]Tabla probabilidad'!$C$4,"MUY BAJA",IF('[14]Mapa final'!G27='[14]Tabla probabilidad'!$C$5,"BAJA",IF('[14]Mapa final'!G27='[14]Tabla probabilidad'!$C$6,"MEDIA",IF('[14]Mapa final'!G27='[14]Tabla probabilidad'!$C$7,"ALTA",IF('[14]Mapa final'!G27='[14]Tabla probabilidad'!$C$8,"MUY ALTA"))))))</f>
        <v/>
      </c>
      <c r="I27" s="225" t="str">
        <f t="shared" ref="I27" si="59">IF(H27="","",IF(H27="Muy Baja",0.2,IF(H27="Baja",0.4,IF(H27="Media",0.6,IF(H27="Alta",0.8,IF(H27="Muy Alta",1,))))))</f>
        <v/>
      </c>
      <c r="J27" s="224"/>
      <c r="K27" s="225" t="str">
        <f>IF(J27="","",IF(NOT(ISERROR(MATCH(J27,'[14]Tabla Impacto'!$B$37:$B$39,0))),'[14]Tabla Impacto'!$F$37&amp;"Por favor no seleccionar los criterios de impacto(Afectación Económica o presupuestal y Pérdida Reputacional)",J27))</f>
        <v/>
      </c>
      <c r="L27" s="226" t="str">
        <f>IF(OR(J27='[14]Tabla Impacto'!$F$25,J27='[14]Tabla Impacto'!$F$31),"Leve",IF(OR(J27='[14]Tabla Impacto'!$F$26,J27='[14]Tabla Impacto'!$F$32),"Menor",IF(OR(J27='[14]Tabla Impacto'!$F$27,J27='[14]Tabla Impacto'!$F$33,J27='[14]Tabla Impacto'!$F$37),"Moderado",IF(OR(J27='[14]Tabla Impacto'!$F$28,J27='[14]Tabla Impacto'!$F$34,J27='[14]Tabla Impacto'!$F$38),"Mayor",IF(OR(J27='[14]Tabla Impacto'!$F$29,J27='[14]Tabla Impacto'!$F$35,J27='[14]Tabla Impacto'!$F$39),"Catastrófico","")))))</f>
        <v/>
      </c>
      <c r="M27" s="225" t="str">
        <f t="shared" ref="M27" si="60">IF(L27="","",IF(L27="Leve",0.2,IF(L27="Menor",0.4,IF(L27="Moderado",0.6,IF(L27="Mayor",0.8,IF(L27="Catastrófico",1,))))))</f>
        <v/>
      </c>
      <c r="N27" s="227" t="str">
        <f t="shared" ref="N27" si="61">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11"/>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31"/>
      <c r="B28" s="232"/>
      <c r="C28" s="232"/>
      <c r="D28" s="232"/>
      <c r="E28" s="233"/>
      <c r="F28" s="232"/>
      <c r="G28" s="232"/>
      <c r="H28" s="226"/>
      <c r="I28" s="225"/>
      <c r="J28" s="224"/>
      <c r="K28" s="225">
        <f ca="1">IF(NOT(ISERROR(MATCH(J28,_xlfn.ANCHORARRAY(E30),0))),#REF!&amp;"Por favor no seleccionar los criterios de impacto",J28)</f>
        <v>0</v>
      </c>
      <c r="L28" s="226"/>
      <c r="M28" s="225"/>
      <c r="N28" s="227"/>
      <c r="O28" s="23">
        <v>2</v>
      </c>
      <c r="P28" s="24"/>
      <c r="Q28" s="24"/>
      <c r="R28" s="23" t="str">
        <f t="shared" si="11"/>
        <v/>
      </c>
      <c r="S28" s="12"/>
      <c r="T28" s="12"/>
      <c r="U28" s="25" t="str">
        <f t="shared" ref="U28" si="62">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3"/>
        <v/>
      </c>
      <c r="AA28" s="25" t="str">
        <f t="shared" ref="AA28" si="63">+Y28</f>
        <v/>
      </c>
      <c r="AB28" s="19" t="str">
        <f t="shared" si="15"/>
        <v/>
      </c>
      <c r="AC28" s="25" t="str">
        <f t="shared" si="6"/>
        <v/>
      </c>
      <c r="AD28" s="2" t="str">
        <f t="shared" ref="AD28" si="64">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28" t="s">
        <v>97</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3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C23:C24"/>
    <mergeCell ref="D23:D24"/>
    <mergeCell ref="E23:E24"/>
    <mergeCell ref="F23:F24"/>
    <mergeCell ref="I21:I22"/>
    <mergeCell ref="J21:J22"/>
    <mergeCell ref="K21:K22"/>
    <mergeCell ref="L21:L22"/>
    <mergeCell ref="M21:M22"/>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s>
  <conditionalFormatting sqref="H9 H11 H13 H15 H17 H19 H21 H23 H25 H27">
    <cfRule type="cellIs" dxfId="419" priority="137" operator="equal">
      <formula>"Muy Alta"</formula>
    </cfRule>
    <cfRule type="cellIs" dxfId="418" priority="138" operator="equal">
      <formula>"Alta"</formula>
    </cfRule>
    <cfRule type="cellIs" dxfId="417" priority="139" operator="equal">
      <formula>"Media"</formula>
    </cfRule>
    <cfRule type="cellIs" dxfId="416" priority="140" operator="equal">
      <formula>"Baja"</formula>
    </cfRule>
    <cfRule type="cellIs" dxfId="415" priority="141" operator="equal">
      <formula>"Muy Baja"</formula>
    </cfRule>
  </conditionalFormatting>
  <conditionalFormatting sqref="K9:K28">
    <cfRule type="containsText" dxfId="414" priority="1" operator="containsText" text="❌">
      <formula>NOT(ISERROR(SEARCH("❌",K9)))</formula>
    </cfRule>
  </conditionalFormatting>
  <conditionalFormatting sqref="L9 L11 L13 L15 L17 L19 L21 L23 L25 L27">
    <cfRule type="cellIs" dxfId="413" priority="132" operator="equal">
      <formula>"Catastrófico"</formula>
    </cfRule>
    <cfRule type="cellIs" dxfId="412" priority="133" operator="equal">
      <formula>"Mayor"</formula>
    </cfRule>
    <cfRule type="cellIs" dxfId="411" priority="134" operator="equal">
      <formula>"Moderado"</formula>
    </cfRule>
    <cfRule type="cellIs" dxfId="410" priority="135" operator="equal">
      <formula>"Menor"</formula>
    </cfRule>
    <cfRule type="cellIs" dxfId="409" priority="136" operator="equal">
      <formula>"Leve"</formula>
    </cfRule>
  </conditionalFormatting>
  <conditionalFormatting sqref="N9 N11 N13 N15 N17 N19 N21 N23 N25 N27">
    <cfRule type="cellIs" dxfId="408" priority="128" operator="equal">
      <formula>"Extremo"</formula>
    </cfRule>
    <cfRule type="cellIs" dxfId="407" priority="129" operator="equal">
      <formula>"Alto"</formula>
    </cfRule>
    <cfRule type="cellIs" dxfId="406" priority="130" operator="equal">
      <formula>"Moderado"</formula>
    </cfRule>
    <cfRule type="cellIs" dxfId="405" priority="131" operator="equal">
      <formula>"Bajo"</formula>
    </cfRule>
  </conditionalFormatting>
  <conditionalFormatting sqref="Z9:Z28">
    <cfRule type="cellIs" dxfId="404" priority="11" operator="equal">
      <formula>"Muy Alta"</formula>
    </cfRule>
    <cfRule type="cellIs" dxfId="403" priority="12" operator="equal">
      <formula>"Alta"</formula>
    </cfRule>
    <cfRule type="cellIs" dxfId="402" priority="13" operator="equal">
      <formula>"Media"</formula>
    </cfRule>
    <cfRule type="cellIs" dxfId="401" priority="14" operator="equal">
      <formula>"Baja"</formula>
    </cfRule>
    <cfRule type="cellIs" dxfId="400" priority="15" operator="equal">
      <formula>"Muy Baja"</formula>
    </cfRule>
  </conditionalFormatting>
  <conditionalFormatting sqref="AB9:AB28">
    <cfRule type="cellIs" dxfId="399" priority="6" operator="equal">
      <formula>"Catastrófico"</formula>
    </cfRule>
    <cfRule type="cellIs" dxfId="398" priority="7" operator="equal">
      <formula>"Mayor"</formula>
    </cfRule>
    <cfRule type="cellIs" dxfId="397" priority="8" operator="equal">
      <formula>"Moderado"</formula>
    </cfRule>
    <cfRule type="cellIs" dxfId="396" priority="9" operator="equal">
      <formula>"Menor"</formula>
    </cfRule>
    <cfRule type="cellIs" dxfId="395" priority="10" operator="equal">
      <formula>"Leve"</formula>
    </cfRule>
  </conditionalFormatting>
  <conditionalFormatting sqref="AD9:AD28">
    <cfRule type="cellIs" dxfId="394" priority="2" operator="equal">
      <formula>"Extremo"</formula>
    </cfRule>
    <cfRule type="cellIs" dxfId="393" priority="3" operator="equal">
      <formula>"Alto"</formula>
    </cfRule>
    <cfRule type="cellIs" dxfId="392" priority="4" operator="equal">
      <formula>"Moderado"</formula>
    </cfRule>
    <cfRule type="cellIs" dxfId="391" priority="5" operator="equal">
      <formula>"Bajo"</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1C4E-F6B4-42AA-946B-E71AAED5F710}">
  <sheetPr>
    <tabColor theme="7" tint="0.39997558519241921"/>
  </sheetPr>
  <dimension ref="A1:AK16"/>
  <sheetViews>
    <sheetView topLeftCell="A6" zoomScale="70" zoomScaleNormal="70" workbookViewId="0">
      <selection activeCell="F12" sqref="F12:F13"/>
    </sheetView>
  </sheetViews>
  <sheetFormatPr baseColWidth="10" defaultRowHeight="15"/>
  <cols>
    <col min="3" max="3" width="14.5703125" customWidth="1"/>
    <col min="4" max="4" width="18.5703125" customWidth="1"/>
    <col min="5" max="5" width="35.85546875" customWidth="1"/>
    <col min="6" max="6" width="13.7109375" customWidth="1"/>
    <col min="10" max="10" width="20.85546875" customWidth="1"/>
    <col min="11" max="11" width="19.42578125" customWidth="1"/>
    <col min="16" max="16" width="31.140625" customWidth="1"/>
    <col min="17" max="17" width="17.7109375" customWidth="1"/>
  </cols>
  <sheetData>
    <row r="1" spans="1:37" ht="16.5">
      <c r="A1" s="435"/>
      <c r="B1" s="436"/>
      <c r="C1" s="436"/>
      <c r="D1" s="437"/>
      <c r="E1" s="444" t="s">
        <v>0</v>
      </c>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3"/>
      <c r="AH1" s="445" t="s">
        <v>1</v>
      </c>
      <c r="AI1" s="422"/>
      <c r="AJ1" s="422"/>
      <c r="AK1" s="423"/>
    </row>
    <row r="2" spans="1:37" ht="16.5">
      <c r="A2" s="438"/>
      <c r="B2" s="439"/>
      <c r="C2" s="439"/>
      <c r="D2" s="440"/>
      <c r="E2" s="446" t="s">
        <v>2</v>
      </c>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7"/>
      <c r="AH2" s="445" t="s">
        <v>3</v>
      </c>
      <c r="AI2" s="422"/>
      <c r="AJ2" s="422"/>
      <c r="AK2" s="423"/>
    </row>
    <row r="3" spans="1:37" ht="16.5">
      <c r="A3" s="441"/>
      <c r="B3" s="442"/>
      <c r="C3" s="442"/>
      <c r="D3" s="443"/>
      <c r="E3" s="441"/>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3"/>
      <c r="AH3" s="445" t="s">
        <v>4</v>
      </c>
      <c r="AI3" s="422"/>
      <c r="AJ3" s="422"/>
      <c r="AK3" s="423"/>
    </row>
    <row r="4" spans="1:37" ht="16.5">
      <c r="A4" s="106"/>
      <c r="B4" s="107"/>
      <c r="C4" s="106"/>
      <c r="D4" s="106"/>
      <c r="E4" s="108"/>
      <c r="F4" s="106"/>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row>
    <row r="5" spans="1:37" ht="36" customHeight="1">
      <c r="A5" s="426" t="s">
        <v>5</v>
      </c>
      <c r="B5" s="423"/>
      <c r="C5" s="427" t="s">
        <v>296</v>
      </c>
      <c r="D5" s="422"/>
      <c r="E5" s="422"/>
      <c r="F5" s="422"/>
      <c r="G5" s="423"/>
      <c r="H5" s="428" t="s">
        <v>7</v>
      </c>
      <c r="I5" s="429"/>
      <c r="J5" s="427" t="s">
        <v>297</v>
      </c>
      <c r="K5" s="422"/>
      <c r="L5" s="422"/>
      <c r="M5" s="422"/>
      <c r="N5" s="423"/>
      <c r="O5" s="428" t="s">
        <v>9</v>
      </c>
      <c r="P5" s="429"/>
      <c r="Q5" s="430" t="s">
        <v>298</v>
      </c>
      <c r="R5" s="431"/>
      <c r="S5" s="431"/>
      <c r="T5" s="431"/>
      <c r="U5" s="431"/>
      <c r="V5" s="431"/>
      <c r="W5" s="431"/>
      <c r="X5" s="431"/>
      <c r="Y5" s="431"/>
      <c r="Z5" s="431"/>
      <c r="AA5" s="431"/>
      <c r="AB5" s="431"/>
      <c r="AC5" s="431"/>
      <c r="AD5" s="431"/>
      <c r="AE5" s="432"/>
      <c r="AF5" s="155" t="s">
        <v>11</v>
      </c>
      <c r="AG5" s="450" t="s">
        <v>299</v>
      </c>
      <c r="AH5" s="451"/>
      <c r="AI5" s="451"/>
      <c r="AJ5" s="451"/>
      <c r="AK5" s="452"/>
    </row>
    <row r="6" spans="1:37">
      <c r="A6" s="453" t="s">
        <v>13</v>
      </c>
      <c r="B6" s="422"/>
      <c r="C6" s="422"/>
      <c r="D6" s="422"/>
      <c r="E6" s="422"/>
      <c r="F6" s="422"/>
      <c r="G6" s="423"/>
      <c r="H6" s="454" t="s">
        <v>14</v>
      </c>
      <c r="I6" s="422"/>
      <c r="J6" s="422"/>
      <c r="K6" s="422"/>
      <c r="L6" s="422"/>
      <c r="M6" s="422"/>
      <c r="N6" s="423"/>
      <c r="O6" s="421" t="s">
        <v>15</v>
      </c>
      <c r="P6" s="422"/>
      <c r="Q6" s="422"/>
      <c r="R6" s="422"/>
      <c r="S6" s="422"/>
      <c r="T6" s="422"/>
      <c r="U6" s="422"/>
      <c r="V6" s="422"/>
      <c r="W6" s="422"/>
      <c r="X6" s="423"/>
      <c r="Y6" s="424" t="s">
        <v>16</v>
      </c>
      <c r="Z6" s="422"/>
      <c r="AA6" s="422"/>
      <c r="AB6" s="422"/>
      <c r="AC6" s="422"/>
      <c r="AD6" s="422"/>
      <c r="AE6" s="423"/>
      <c r="AF6" s="425" t="s">
        <v>17</v>
      </c>
      <c r="AG6" s="422"/>
      <c r="AH6" s="422"/>
      <c r="AI6" s="422"/>
      <c r="AJ6" s="422"/>
      <c r="AK6" s="423"/>
    </row>
    <row r="7" spans="1:37">
      <c r="A7" s="447" t="s">
        <v>18</v>
      </c>
      <c r="B7" s="448" t="s">
        <v>19</v>
      </c>
      <c r="C7" s="449" t="s">
        <v>20</v>
      </c>
      <c r="D7" s="449" t="s">
        <v>21</v>
      </c>
      <c r="E7" s="448" t="s">
        <v>22</v>
      </c>
      <c r="F7" s="449" t="s">
        <v>23</v>
      </c>
      <c r="G7" s="449" t="s">
        <v>24</v>
      </c>
      <c r="H7" s="433" t="s">
        <v>25</v>
      </c>
      <c r="I7" s="455" t="s">
        <v>26</v>
      </c>
      <c r="J7" s="433" t="s">
        <v>27</v>
      </c>
      <c r="K7" s="433" t="s">
        <v>28</v>
      </c>
      <c r="L7" s="433" t="s">
        <v>29</v>
      </c>
      <c r="M7" s="455" t="s">
        <v>26</v>
      </c>
      <c r="N7" s="433" t="s">
        <v>30</v>
      </c>
      <c r="O7" s="457" t="s">
        <v>31</v>
      </c>
      <c r="P7" s="458" t="s">
        <v>32</v>
      </c>
      <c r="Q7" s="458" t="s">
        <v>33</v>
      </c>
      <c r="R7" s="458" t="s">
        <v>34</v>
      </c>
      <c r="S7" s="459" t="s">
        <v>35</v>
      </c>
      <c r="T7" s="422"/>
      <c r="U7" s="422"/>
      <c r="V7" s="422"/>
      <c r="W7" s="422"/>
      <c r="X7" s="423"/>
      <c r="Y7" s="456" t="s">
        <v>36</v>
      </c>
      <c r="Z7" s="456" t="s">
        <v>37</v>
      </c>
      <c r="AA7" s="456" t="s">
        <v>26</v>
      </c>
      <c r="AB7" s="456" t="s">
        <v>38</v>
      </c>
      <c r="AC7" s="456" t="s">
        <v>26</v>
      </c>
      <c r="AD7" s="456" t="s">
        <v>39</v>
      </c>
      <c r="AE7" s="456" t="s">
        <v>40</v>
      </c>
      <c r="AF7" s="460" t="s">
        <v>17</v>
      </c>
      <c r="AG7" s="460" t="s">
        <v>41</v>
      </c>
      <c r="AH7" s="460" t="s">
        <v>42</v>
      </c>
      <c r="AI7" s="460" t="s">
        <v>43</v>
      </c>
      <c r="AJ7" s="460" t="s">
        <v>44</v>
      </c>
      <c r="AK7" s="460" t="s">
        <v>45</v>
      </c>
    </row>
    <row r="8" spans="1:37" ht="81.75">
      <c r="A8" s="434"/>
      <c r="B8" s="434"/>
      <c r="C8" s="434"/>
      <c r="D8" s="434"/>
      <c r="E8" s="434"/>
      <c r="F8" s="434"/>
      <c r="G8" s="434"/>
      <c r="H8" s="434"/>
      <c r="I8" s="434"/>
      <c r="J8" s="434"/>
      <c r="K8" s="434"/>
      <c r="L8" s="434"/>
      <c r="M8" s="434"/>
      <c r="N8" s="434"/>
      <c r="O8" s="434"/>
      <c r="P8" s="434"/>
      <c r="Q8" s="434"/>
      <c r="R8" s="434"/>
      <c r="S8" s="109" t="s">
        <v>46</v>
      </c>
      <c r="T8" s="109" t="s">
        <v>47</v>
      </c>
      <c r="U8" s="109" t="s">
        <v>48</v>
      </c>
      <c r="V8" s="109" t="s">
        <v>49</v>
      </c>
      <c r="W8" s="109" t="s">
        <v>50</v>
      </c>
      <c r="X8" s="109" t="s">
        <v>51</v>
      </c>
      <c r="Y8" s="434"/>
      <c r="Z8" s="434"/>
      <c r="AA8" s="434"/>
      <c r="AB8" s="434"/>
      <c r="AC8" s="434"/>
      <c r="AD8" s="434"/>
      <c r="AE8" s="434"/>
      <c r="AF8" s="434"/>
      <c r="AG8" s="434"/>
      <c r="AH8" s="434"/>
      <c r="AI8" s="434"/>
      <c r="AJ8" s="434"/>
      <c r="AK8" s="434"/>
    </row>
    <row r="9" spans="1:37" ht="127.5">
      <c r="A9" s="121">
        <v>3</v>
      </c>
      <c r="B9" s="119" t="s">
        <v>52</v>
      </c>
      <c r="C9" s="119" t="s">
        <v>300</v>
      </c>
      <c r="D9" s="119" t="s">
        <v>301</v>
      </c>
      <c r="E9" s="119" t="s">
        <v>302</v>
      </c>
      <c r="F9" s="119" t="s">
        <v>277</v>
      </c>
      <c r="G9" s="119" t="s">
        <v>85</v>
      </c>
      <c r="H9" s="111" t="str">
        <f>IF(G9="","",IF('[15]Mapa final'!G11='[15]Tabla probabilidad'!$C$4,"MUY BAJA",IF('[15]Mapa final'!G13='[15]Tabla probabilidad'!$C$5,"BAJA",IF('[15]Mapa final'!G13='[15]Tabla probabilidad'!$C$6,"MEDIA",IF('[15]Mapa final'!G13='[15]Tabla probabilidad'!$C$7,"ALTA",IF('[15]Mapa final'!G13='[15]Tabla probabilidad'!$C$8,"MUY ALTA"))))))</f>
        <v>BAJA</v>
      </c>
      <c r="I9" s="122">
        <v>1</v>
      </c>
      <c r="J9" s="122" t="s">
        <v>145</v>
      </c>
      <c r="K9" s="123" t="str">
        <f>IF(J9="","",IF(NOT(ISERROR(MATCH(J9,'[16]Tabla Impacto'!$B$37:$B$39,0))),'[16]Tabla Impacto'!$F$37&amp;"Por favor no seleccionar los criterios de impacto(Afectación Económica o presupuestal y Pérdida Reputacional)",J9))</f>
        <v xml:space="preserve">     Entre 100 y 500 SMLMV </v>
      </c>
      <c r="L9" s="124" t="str">
        <f>IF(OR(J9='[15]Tabla Impacto'!$F$25,J9='[15]Tabla Impacto'!$F$31),"Leve",IF(OR(J9='[15]Tabla Impacto'!$F$26,J9='[15]Tabla Impacto'!$F$32),"Menor",IF(OR(J9='[15]Tabla Impacto'!$F$27,J9='[15]Tabla Impacto'!$F$33,J9='[15]Tabla Impacto'!$F$37),"Moderado",IF(OR(J9='[15]Tabla Impacto'!$F$28,J9='[15]Tabla Impacto'!$F$34,J9='[15]Tabla Impacto'!$F$38),"Mayor",IF(OR(J9='[15]Tabla Impacto'!$F$29,J9='[15]Tabla Impacto'!$F$35,J9='[15]Tabla Impacto'!$F$39),"Catastrófico","")))))</f>
        <v>Mayor</v>
      </c>
      <c r="M9" s="123">
        <f t="shared" ref="M9:M10" si="0">IF(L9="","",IF(L9="Leve",0.2,IF(L9="Menor",0.4,IF(L9="Moderado",0.6,IF(L9="Mayor",0.8,IF(L9="Catastrófico",1,))))))</f>
        <v>0.8</v>
      </c>
      <c r="N9" s="125" t="str">
        <f t="shared" ref="N9:N10" si="1">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113">
        <v>1</v>
      </c>
      <c r="P9" s="114" t="s">
        <v>303</v>
      </c>
      <c r="Q9" s="114" t="s">
        <v>304</v>
      </c>
      <c r="R9" s="113" t="str">
        <f t="shared" ref="R9" si="2">IF(OR(S9="Preventivo",S9="Detectivo"),"Probabilidad",IF(S9="Correctivo","Impacto",""))</f>
        <v>Probabilidad</v>
      </c>
      <c r="S9" s="113" t="s">
        <v>61</v>
      </c>
      <c r="T9" s="113" t="s">
        <v>62</v>
      </c>
      <c r="U9" s="115" t="str">
        <f t="shared" ref="U9" si="3">IF(AND(S9="Preventivo",T9="Automático"),"50%",IF(AND(S9="Preventivo",T9="Manual"),"40%",IF(AND(S9="Detectivo",T9="Automático"),"40%",IF(AND(S9="Detectivo",T9="Manual"),"30%",IF(AND(S9="Correctivo",T9="Automático"),"35%",IF(AND(S9="Correctivo",T9="Manual"),"25%",""))))))</f>
        <v>40%</v>
      </c>
      <c r="V9" s="113" t="s">
        <v>70</v>
      </c>
      <c r="W9" s="113" t="s">
        <v>123</v>
      </c>
      <c r="X9" s="113" t="s">
        <v>65</v>
      </c>
      <c r="Y9" s="116">
        <f t="shared" ref="Y9" si="4">IFERROR(IF(R9="Probabilidad",(I9-(+I9*U9)),IF(R9="Impacto",I9,"")),"")</f>
        <v>0.6</v>
      </c>
      <c r="Z9" s="117" t="str">
        <f t="shared" ref="Z9" si="5">IFERROR(IF(Y9="","",IF(Y9&lt;=0.2,"Muy Baja",IF(Y9&lt;=0.4,"Baja",IF(Y9&lt;=0.6,"Media",IF(Y9&lt;=0.8,"Alta","Muy Alta"))))),"")</f>
        <v>Media</v>
      </c>
      <c r="AA9" s="115">
        <f t="shared" ref="AA9" si="6">+Y9</f>
        <v>0.6</v>
      </c>
      <c r="AB9" s="117" t="str">
        <f t="shared" ref="AB9" si="7">IFERROR(IF(AC9="","",IF(AC9&lt;=0.2,"Leve",IF(AC9&lt;=0.4,"Menor",IF(AC9&lt;=0.6,"Moderado",IF(AC9&lt;=0.8,"Mayor","Catastrófico"))))),"")</f>
        <v>Mayor</v>
      </c>
      <c r="AC9" s="115">
        <f t="shared" ref="AC9" si="8">IFERROR(IF(R9="Impacto",(M9-(+M9*U9)),IF(R9="Probabilidad",M9,"")),"")</f>
        <v>0.8</v>
      </c>
      <c r="AD9" s="118" t="str">
        <f t="shared" ref="AD9" si="9">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13" t="s">
        <v>220</v>
      </c>
      <c r="AF9" s="119"/>
      <c r="AG9" s="113"/>
      <c r="AH9" s="120"/>
      <c r="AI9" s="120"/>
      <c r="AJ9" s="119"/>
      <c r="AK9" s="113"/>
    </row>
    <row r="10" spans="1:37" ht="117.75" customHeight="1">
      <c r="A10" s="462">
        <v>4</v>
      </c>
      <c r="B10" s="463" t="s">
        <v>71</v>
      </c>
      <c r="C10" s="463" t="s">
        <v>305</v>
      </c>
      <c r="D10" s="463" t="s">
        <v>306</v>
      </c>
      <c r="E10" s="463" t="s">
        <v>307</v>
      </c>
      <c r="F10" s="463" t="s">
        <v>75</v>
      </c>
      <c r="G10" s="463" t="s">
        <v>76</v>
      </c>
      <c r="H10" s="464" t="str">
        <f>IF(G10="","",IF('[15]Mapa final'!G14='[15]Tabla probabilidad'!$C$4,"MUY BAJA",IF('[15]Mapa final'!G14='[15]Tabla probabilidad'!$C$5,"BAJA",IF('[15]Mapa final'!G14='[15]Tabla probabilidad'!$C$6,"MEDIA",IF('[15]Mapa final'!G14='[15]Tabla probabilidad'!$C$7,"ALTA",IF('[15]Mapa final'!G14='[15]Tabla probabilidad'!$C$8,"MUY ALTA"))))))</f>
        <v>ALTA</v>
      </c>
      <c r="I10" s="465">
        <f>IF(H10="","",IF(H10="Muy Baja",0.2,IF(H10="Baja",0.4,IF(H10="Media",0.6,IF(H10="Alta",0.8,IF(H10="Muy Alta",1,))))))</f>
        <v>0.8</v>
      </c>
      <c r="J10" s="465" t="s">
        <v>77</v>
      </c>
      <c r="K10" s="465" t="str">
        <f>IF(J10="","",IF(NOT(ISERROR(MATCH(J10,'[15]Tabla Impacto'!$B$37:$B$39,0))),'[15]Tabla Impacto'!$F$37&amp;"Por favor no seleccionar los criterios de impacto(Afectación Económica o presupuestal y Pérdida Reputacional)",J10))</f>
        <v xml:space="preserve">     El riesgo afecta la imagen de la entidad con algunos usuarios de relevancia frente al logro de los objetivos</v>
      </c>
      <c r="L10" s="464" t="str">
        <f>IF(OR(J10='[15]Tabla Impacto'!$F$25,J10='[15]Tabla Impacto'!$F$31),"Leve",IF(OR(J10='[15]Tabla Impacto'!$F$26,J10='[15]Tabla Impacto'!$F$32),"Menor",IF(OR(J10='[15]Tabla Impacto'!$F$27,J10='[15]Tabla Impacto'!$F$33,J10='[15]Tabla Impacto'!$F$37),"Moderado",IF(OR(J10='[15]Tabla Impacto'!$F$28,J10='[15]Tabla Impacto'!$F$34,J10='[15]Tabla Impacto'!$F$38),"Mayor",IF(OR(J10='[15]Tabla Impacto'!$F$29,J10='[15]Tabla Impacto'!$F$35,J10='[15]Tabla Impacto'!$F$39),"Catastrófico","")))))</f>
        <v>Moderado</v>
      </c>
      <c r="M10" s="465">
        <f t="shared" si="0"/>
        <v>0.6</v>
      </c>
      <c r="N10" s="461" t="str">
        <f t="shared" si="1"/>
        <v>Alto</v>
      </c>
      <c r="O10" s="113">
        <v>1</v>
      </c>
      <c r="P10" s="126" t="s">
        <v>308</v>
      </c>
      <c r="Q10" s="126" t="s">
        <v>309</v>
      </c>
      <c r="R10" s="127" t="str">
        <f>IF(OR(S10="Preventivo",S10="Detectivo"),"Probabilidad",IF(S10="Correctivo","Impacto",""))</f>
        <v>Probabilidad</v>
      </c>
      <c r="S10" s="128" t="s">
        <v>61</v>
      </c>
      <c r="T10" s="128" t="s">
        <v>62</v>
      </c>
      <c r="U10" s="129" t="str">
        <f>IF(AND(S10="Preventivo",T10="Automático"),"50%",IF(AND(S10="Preventivo",T10="Manual"),"40%",IF(AND(S10="Detectivo",T10="Automático"),"40%",IF(AND(S10="Detectivo",T10="Manual"),"30%",IF(AND(S10="Correctivo",T10="Automático"),"35%",IF(AND(S10="Correctivo",T10="Manual"),"25%",""))))))</f>
        <v>40%</v>
      </c>
      <c r="V10" s="128" t="s">
        <v>70</v>
      </c>
      <c r="W10" s="128" t="s">
        <v>64</v>
      </c>
      <c r="X10" s="128" t="s">
        <v>65</v>
      </c>
      <c r="Y10" s="130">
        <f>IFERROR(IF(R10="Probabilidad",(I11-(+I11*U10)),IF(R10="Impacto",I11,"")),"")</f>
        <v>0</v>
      </c>
      <c r="Z10" s="111" t="str">
        <f>IFERROR(IF(Y10="","",IF(Y10&lt;=0.2,"Muy Baja",IF(Y10&lt;=0.4,"Baja",IF(Y10&lt;=0.6,"Media",IF(Y10&lt;=0.8,"Alta","Muy Alta"))))),"")</f>
        <v>Muy Baja</v>
      </c>
      <c r="AA10" s="129">
        <f>+Y10</f>
        <v>0</v>
      </c>
      <c r="AB10" s="111" t="str">
        <f>IFERROR(IF(AC10="","",IF(AC10&lt;=0.2,"Leve",IF(AC10&lt;=0.4,"Menor",IF(AC10&lt;=0.6,"Moderado",IF(AC10&lt;=0.8,"Mayor","Catastrófico"))))),"")</f>
        <v>Leve</v>
      </c>
      <c r="AC10" s="129">
        <f>IFERROR(IF(R10="Impacto",(M11-(+M11*U10)),IF(R10="Probabilidad",M11,"")),"")</f>
        <v>0</v>
      </c>
      <c r="AD10" s="112"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8" t="s">
        <v>66</v>
      </c>
      <c r="AF10" s="119"/>
      <c r="AG10" s="113"/>
      <c r="AH10" s="120"/>
      <c r="AI10" s="120"/>
      <c r="AJ10" s="119"/>
      <c r="AK10" s="113"/>
    </row>
    <row r="11" spans="1:37">
      <c r="A11" s="434"/>
      <c r="B11" s="434"/>
      <c r="C11" s="434"/>
      <c r="D11" s="434"/>
      <c r="E11" s="434"/>
      <c r="F11" s="434"/>
      <c r="G11" s="434"/>
      <c r="H11" s="434"/>
      <c r="I11" s="434"/>
      <c r="J11" s="434"/>
      <c r="K11" s="434"/>
      <c r="L11" s="434"/>
      <c r="M11" s="434"/>
      <c r="N11" s="434"/>
      <c r="O11" s="131">
        <v>2</v>
      </c>
      <c r="P11" s="132"/>
      <c r="Q11" s="132"/>
      <c r="R11" s="132"/>
      <c r="S11" s="132"/>
      <c r="T11" s="132"/>
      <c r="U11" s="132"/>
      <c r="V11" s="132"/>
      <c r="W11" s="132"/>
      <c r="X11" s="132"/>
      <c r="Y11" s="132"/>
      <c r="Z11" s="132"/>
      <c r="AA11" s="132"/>
      <c r="AB11" s="132"/>
      <c r="AC11" s="132"/>
      <c r="AD11" s="132"/>
      <c r="AE11" s="132"/>
      <c r="AF11" s="133"/>
      <c r="AG11" s="113"/>
      <c r="AH11" s="120"/>
      <c r="AI11" s="120"/>
      <c r="AJ11" s="119"/>
      <c r="AK11" s="113"/>
    </row>
    <row r="12" spans="1:37" ht="127.5">
      <c r="A12" s="462">
        <v>5</v>
      </c>
      <c r="B12" s="463" t="s">
        <v>71</v>
      </c>
      <c r="C12" s="463" t="s">
        <v>310</v>
      </c>
      <c r="D12" s="463" t="s">
        <v>311</v>
      </c>
      <c r="E12" s="463" t="s">
        <v>312</v>
      </c>
      <c r="F12" s="463" t="s">
        <v>75</v>
      </c>
      <c r="G12" s="463" t="s">
        <v>57</v>
      </c>
      <c r="H12" s="464" t="str">
        <f>IF(G12="","",IF('[15]Mapa final'!G16='[15]Tabla probabilidad'!$C$4,"MUY BAJA",IF('[15]Mapa final'!G16='[15]Tabla probabilidad'!$C$5,"BAJA",IF('[15]Mapa final'!G16='[15]Tabla probabilidad'!$C$6,"MEDIA",IF('[15]Mapa final'!G16='[15]Tabla probabilidad'!$C$7,"ALTA",IF('[15]Mapa final'!G16='[15]Tabla probabilidad'!$C$8,"MUY ALTA"))))))</f>
        <v>MEDIA</v>
      </c>
      <c r="I12" s="465">
        <f>IF(H12="","",IF(H12="Muy Baja",0.2,IF(H12="Baja",0.4,IF(H12="Media",0.6,IF(H12="Alta",0.8,IF(H12="Muy Alta",1,))))))</f>
        <v>0.6</v>
      </c>
      <c r="J12" s="465" t="s">
        <v>58</v>
      </c>
      <c r="K12" s="465" t="str">
        <f>IF(J12="","",IF(NOT(ISERROR(MATCH(J12,'[15]Tabla Impacto'!$B$37:$B$39,0))),'[15]Tabla Impacto'!$F$37&amp;"Por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464" t="str">
        <f>IF(OR(J12='[15]Tabla Impacto'!$F$25,J12='[15]Tabla Impacto'!$F$31),"Leve",IF(OR(J12='[15]Tabla Impacto'!$F$26,J12='[15]Tabla Impacto'!$F$32),"Menor",IF(OR(J12='[15]Tabla Impacto'!$F$27,J12='[15]Tabla Impacto'!$F$33,J12='[15]Tabla Impacto'!$F$37),"Moderado",IF(OR(J12='[15]Tabla Impacto'!$F$28,J12='[15]Tabla Impacto'!$F$34,J12='[15]Tabla Impacto'!$F$38),"Mayor",IF(OR(J12='[15]Tabla Impacto'!$F$29,J12='[15]Tabla Impacto'!$F$35,J12='[15]Tabla Impacto'!$F$39),"Catastrófico","")))))</f>
        <v>Mayor</v>
      </c>
      <c r="M12" s="465">
        <f>IF(L12="","",IF(L12="Leve",0.2,IF(L12="Menor",0.4,IF(L12="Moderado",0.6,IF(L12="Mayor",0.8,IF(L12="Catastrófico",1,))))))</f>
        <v>0.8</v>
      </c>
      <c r="N12" s="46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13">
        <v>1</v>
      </c>
      <c r="P12" s="126" t="s">
        <v>313</v>
      </c>
      <c r="Q12" s="126" t="s">
        <v>314</v>
      </c>
      <c r="R12" s="128" t="str">
        <f>IF(OR(S12="Preventivo",S12="Detectivo"),"Probabilidad",IF(S12="Correctivo","Impacto",""))</f>
        <v>Probabilidad</v>
      </c>
      <c r="S12" s="128" t="s">
        <v>61</v>
      </c>
      <c r="T12" s="128" t="s">
        <v>62</v>
      </c>
      <c r="U12" s="129" t="str">
        <f>IF(AND(S12="Preventivo",T12="Automático"),"50%",IF(AND(S12="Preventivo",T12="Manual"),"40%",IF(AND(S12="Detectivo",T12="Automático"),"40%",IF(AND(S12="Detectivo",T12="Manual"),"30%",IF(AND(S12="Correctivo",T12="Automático"),"35%",IF(AND(S12="Correctivo",T12="Manual"),"25%",""))))))</f>
        <v>40%</v>
      </c>
      <c r="V12" s="128" t="s">
        <v>70</v>
      </c>
      <c r="W12" s="128" t="s">
        <v>64</v>
      </c>
      <c r="X12" s="128" t="s">
        <v>65</v>
      </c>
      <c r="Y12" s="130">
        <f>IFERROR(IF(R12="Probabilidad",(I13-(+I13*U12)),IF(R12="Impacto",I13,"")),"")</f>
        <v>0</v>
      </c>
      <c r="Z12" s="111" t="str">
        <f>IFERROR(IF(Y12="","",IF(Y12&lt;=0.2,"Muy Baja",IF(Y12&lt;=0.4,"Baja",IF(Y12&lt;=0.6,"Media",IF(Y12&lt;=0.8,"Alta","Muy Alta"))))),"")</f>
        <v>Muy Baja</v>
      </c>
      <c r="AA12" s="129">
        <f>+Y12</f>
        <v>0</v>
      </c>
      <c r="AB12" s="111" t="str">
        <f>IFERROR(IF(AC12="","",IF(AC12&lt;=0.2,"Leve",IF(AC12&lt;=0.4,"Menor",IF(AC12&lt;=0.6,"Moderado",IF(AC12&lt;=0.8,"Mayor","Catastrófico"))))),"")</f>
        <v>Leve</v>
      </c>
      <c r="AC12" s="129">
        <f>IFERROR(IF(R12="Impacto",(M13-(+M13*U12)),IF(R12="Probabilidad",M13,"")),"")</f>
        <v>0</v>
      </c>
      <c r="AD12" s="105"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34" t="s">
        <v>257</v>
      </c>
      <c r="AF12" s="135"/>
      <c r="AG12" s="128"/>
      <c r="AH12" s="136"/>
      <c r="AI12" s="136"/>
      <c r="AJ12" s="110"/>
      <c r="AK12" s="128"/>
    </row>
    <row r="13" spans="1:37">
      <c r="A13" s="434"/>
      <c r="B13" s="434"/>
      <c r="C13" s="434"/>
      <c r="D13" s="434"/>
      <c r="E13" s="434"/>
      <c r="F13" s="434"/>
      <c r="G13" s="434"/>
      <c r="H13" s="434"/>
      <c r="I13" s="434"/>
      <c r="J13" s="434"/>
      <c r="K13" s="434"/>
      <c r="L13" s="434"/>
      <c r="M13" s="434"/>
      <c r="N13" s="434"/>
      <c r="O13" s="131">
        <v>2</v>
      </c>
      <c r="P13" s="132"/>
      <c r="Q13" s="132"/>
      <c r="R13" s="132"/>
      <c r="S13" s="132"/>
      <c r="T13" s="132"/>
      <c r="U13" s="132"/>
      <c r="V13" s="132"/>
      <c r="W13" s="132"/>
      <c r="X13" s="132"/>
      <c r="Y13" s="132"/>
      <c r="Z13" s="132"/>
      <c r="AA13" s="132"/>
      <c r="AB13" s="132"/>
      <c r="AC13" s="132"/>
      <c r="AD13" s="132"/>
      <c r="AE13" s="132"/>
      <c r="AF13" s="137"/>
      <c r="AG13" s="134"/>
      <c r="AH13" s="138"/>
      <c r="AI13" s="138"/>
      <c r="AJ13" s="137"/>
      <c r="AK13" s="134"/>
    </row>
    <row r="14" spans="1:37">
      <c r="A14" s="466" t="s">
        <v>315</v>
      </c>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3"/>
    </row>
    <row r="15" spans="1:37">
      <c r="A15" s="139"/>
      <c r="B15" s="140" t="s">
        <v>98</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row>
    <row r="16" spans="1:37" ht="16.5">
      <c r="A16" s="106"/>
      <c r="B16" s="106"/>
      <c r="C16" s="106"/>
      <c r="D16" s="106"/>
      <c r="E16" s="108"/>
      <c r="F16" s="106"/>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row>
  </sheetData>
  <mergeCells count="79">
    <mergeCell ref="A14:AK14"/>
    <mergeCell ref="M12:M13"/>
    <mergeCell ref="N12:N13"/>
    <mergeCell ref="G12:G13"/>
    <mergeCell ref="H12:H13"/>
    <mergeCell ref="I12:I13"/>
    <mergeCell ref="J12:J13"/>
    <mergeCell ref="K12:K13"/>
    <mergeCell ref="L12:L13"/>
    <mergeCell ref="A12:A13"/>
    <mergeCell ref="B12:B13"/>
    <mergeCell ref="C12:C13"/>
    <mergeCell ref="D12:D13"/>
    <mergeCell ref="E12:E13"/>
    <mergeCell ref="F12:F13"/>
    <mergeCell ref="N10:N11"/>
    <mergeCell ref="A10:A11"/>
    <mergeCell ref="B10:B11"/>
    <mergeCell ref="C10:C11"/>
    <mergeCell ref="D10:D11"/>
    <mergeCell ref="E10:E11"/>
    <mergeCell ref="F10:F11"/>
    <mergeCell ref="G10:G11"/>
    <mergeCell ref="H10:H11"/>
    <mergeCell ref="I10:I11"/>
    <mergeCell ref="J10:J11"/>
    <mergeCell ref="K10:K11"/>
    <mergeCell ref="L10:L11"/>
    <mergeCell ref="M10:M11"/>
    <mergeCell ref="AJ7:AJ8"/>
    <mergeCell ref="AK7:AK8"/>
    <mergeCell ref="AD7:AD8"/>
    <mergeCell ref="AE7:AE8"/>
    <mergeCell ref="AF7:AF8"/>
    <mergeCell ref="AG7:AG8"/>
    <mergeCell ref="AH7:AH8"/>
    <mergeCell ref="AI7:AI8"/>
    <mergeCell ref="AC7:AC8"/>
    <mergeCell ref="M7:M8"/>
    <mergeCell ref="N7:N8"/>
    <mergeCell ref="O7:O8"/>
    <mergeCell ref="P7:P8"/>
    <mergeCell ref="Q7:Q8"/>
    <mergeCell ref="R7:R8"/>
    <mergeCell ref="S7:X7"/>
    <mergeCell ref="Y7:Y8"/>
    <mergeCell ref="Z7:Z8"/>
    <mergeCell ref="AA7:AA8"/>
    <mergeCell ref="AB7:AB8"/>
    <mergeCell ref="G7:G8"/>
    <mergeCell ref="H7:H8"/>
    <mergeCell ref="I7:I8"/>
    <mergeCell ref="J7:J8"/>
    <mergeCell ref="K7:K8"/>
    <mergeCell ref="L7:L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s>
  <conditionalFormatting sqref="H9:H10">
    <cfRule type="cellIs" dxfId="390" priority="1" operator="equal">
      <formula>"Muy Alta"</formula>
    </cfRule>
    <cfRule type="cellIs" dxfId="389" priority="2" operator="equal">
      <formula>"Alta"</formula>
    </cfRule>
    <cfRule type="cellIs" dxfId="388" priority="3" operator="equal">
      <formula>"Media"</formula>
    </cfRule>
    <cfRule type="cellIs" dxfId="387" priority="4" operator="equal">
      <formula>"Baja"</formula>
    </cfRule>
    <cfRule type="cellIs" dxfId="386" priority="5" operator="equal">
      <formula>"Muy Baja"</formula>
    </cfRule>
  </conditionalFormatting>
  <conditionalFormatting sqref="K9:K13">
    <cfRule type="containsText" dxfId="385" priority="6" operator="containsText" text="❌">
      <formula>NOT(ISERROR(SEARCH(("❌"),(K9))))</formula>
    </cfRule>
  </conditionalFormatting>
  <conditionalFormatting sqref="L9:L10">
    <cfRule type="cellIs" dxfId="384" priority="7" operator="equal">
      <formula>"Catastrófico"</formula>
    </cfRule>
    <cfRule type="cellIs" dxfId="383" priority="8" operator="equal">
      <formula>"Mayor"</formula>
    </cfRule>
    <cfRule type="cellIs" dxfId="382" priority="9" operator="equal">
      <formula>"Moderado"</formula>
    </cfRule>
    <cfRule type="cellIs" dxfId="381" priority="10" operator="equal">
      <formula>"Menor"</formula>
    </cfRule>
    <cfRule type="cellIs" dxfId="380" priority="11" operator="equal">
      <formula>"Leve"</formula>
    </cfRule>
  </conditionalFormatting>
  <conditionalFormatting sqref="N9:N10">
    <cfRule type="cellIs" dxfId="379" priority="12" operator="equal">
      <formula>"Extremo"</formula>
    </cfRule>
    <cfRule type="cellIs" dxfId="378" priority="13" operator="equal">
      <formula>"Alto"</formula>
    </cfRule>
    <cfRule type="cellIs" dxfId="377" priority="14" operator="equal">
      <formula>"Moderado"</formula>
    </cfRule>
    <cfRule type="cellIs" dxfId="376" priority="15" operator="equal">
      <formula>"Bajo"</formula>
    </cfRule>
  </conditionalFormatting>
  <conditionalFormatting sqref="Z9:Z10 H12 Z12">
    <cfRule type="cellIs" dxfId="375" priority="30" operator="equal">
      <formula>"Muy Alta"</formula>
    </cfRule>
    <cfRule type="cellIs" dxfId="374" priority="31" operator="equal">
      <formula>"Alta"</formula>
    </cfRule>
    <cfRule type="cellIs" dxfId="373" priority="32" operator="equal">
      <formula>"Media"</formula>
    </cfRule>
    <cfRule type="cellIs" dxfId="372" priority="33" operator="equal">
      <formula>"Baja"</formula>
    </cfRule>
    <cfRule type="cellIs" dxfId="371" priority="34" operator="equal">
      <formula>"Muy Baja"</formula>
    </cfRule>
  </conditionalFormatting>
  <conditionalFormatting sqref="AB9:AB10 L12 AB12">
    <cfRule type="cellIs" dxfId="370" priority="36" operator="equal">
      <formula>"Catastrófico"</formula>
    </cfRule>
    <cfRule type="cellIs" dxfId="369" priority="37" operator="equal">
      <formula>"Mayor"</formula>
    </cfRule>
    <cfRule type="cellIs" dxfId="368" priority="38" operator="equal">
      <formula>"Moderado"</formula>
    </cfRule>
    <cfRule type="cellIs" dxfId="367" priority="39" operator="equal">
      <formula>"Menor"</formula>
    </cfRule>
    <cfRule type="cellIs" dxfId="366" priority="40" operator="equal">
      <formula>"Leve"</formula>
    </cfRule>
  </conditionalFormatting>
  <conditionalFormatting sqref="AD9:AD10 N12 AD12">
    <cfRule type="cellIs" dxfId="365" priority="41" operator="equal">
      <formula>"Extremo"</formula>
    </cfRule>
    <cfRule type="cellIs" dxfId="364" priority="42" operator="equal">
      <formula>"Alto"</formula>
    </cfRule>
    <cfRule type="cellIs" dxfId="363" priority="43" operator="equal">
      <formula>"Moderado"</formula>
    </cfRule>
    <cfRule type="cellIs" dxfId="362" priority="44" operator="equal">
      <formula>"Bajo"</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1E15-6210-4B3E-8F90-29094C01E992}">
  <sheetPr>
    <tabColor theme="8" tint="-0.249977111117893"/>
  </sheetPr>
  <dimension ref="A1:AK18"/>
  <sheetViews>
    <sheetView topLeftCell="A7" zoomScale="90" zoomScaleNormal="90" workbookViewId="0">
      <selection activeCell="F7" sqref="F7:F8"/>
    </sheetView>
  </sheetViews>
  <sheetFormatPr baseColWidth="10" defaultRowHeight="15"/>
  <cols>
    <col min="4" max="4" width="17.85546875" customWidth="1"/>
    <col min="5" max="5" width="48" customWidth="1"/>
    <col min="6" max="6" width="16.140625" customWidth="1"/>
    <col min="7" max="7" width="17.5703125" customWidth="1"/>
    <col min="16" max="16" width="25.42578125" customWidth="1"/>
    <col min="17" max="17" width="23.5703125" customWidth="1"/>
  </cols>
  <sheetData>
    <row r="1" spans="1:37" ht="21">
      <c r="A1" s="231"/>
      <c r="B1" s="231"/>
      <c r="C1" s="231"/>
      <c r="D1" s="231"/>
      <c r="E1" s="484" t="s">
        <v>0</v>
      </c>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253" t="s">
        <v>1</v>
      </c>
      <c r="AI1" s="253"/>
      <c r="AJ1" s="253"/>
      <c r="AK1" s="253"/>
    </row>
    <row r="2" spans="1:37" ht="16.5">
      <c r="A2" s="231"/>
      <c r="B2" s="231"/>
      <c r="C2" s="231"/>
      <c r="D2" s="231"/>
      <c r="E2" s="483" t="s">
        <v>269</v>
      </c>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253" t="s">
        <v>3</v>
      </c>
      <c r="AI2" s="253"/>
      <c r="AJ2" s="253"/>
      <c r="AK2" s="253"/>
    </row>
    <row r="3" spans="1:37" ht="16.5">
      <c r="A3" s="231"/>
      <c r="B3" s="231"/>
      <c r="C3" s="231"/>
      <c r="D3" s="231"/>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5.25" customHeight="1">
      <c r="A5" s="477" t="s">
        <v>5</v>
      </c>
      <c r="B5" s="477"/>
      <c r="C5" s="476" t="s">
        <v>270</v>
      </c>
      <c r="D5" s="476"/>
      <c r="E5" s="476"/>
      <c r="F5" s="476"/>
      <c r="G5" s="476"/>
      <c r="H5" s="477" t="s">
        <v>7</v>
      </c>
      <c r="I5" s="477"/>
      <c r="J5" s="478" t="s">
        <v>271</v>
      </c>
      <c r="K5" s="478"/>
      <c r="L5" s="478"/>
      <c r="M5" s="478"/>
      <c r="N5" s="478"/>
      <c r="O5" s="479" t="s">
        <v>9</v>
      </c>
      <c r="P5" s="479"/>
      <c r="Q5" s="480" t="s">
        <v>272</v>
      </c>
      <c r="R5" s="481"/>
      <c r="S5" s="481"/>
      <c r="T5" s="481"/>
      <c r="U5" s="481"/>
      <c r="V5" s="481"/>
      <c r="W5" s="481"/>
      <c r="X5" s="481"/>
      <c r="Y5" s="481"/>
      <c r="Z5" s="481"/>
      <c r="AA5" s="481"/>
      <c r="AB5" s="481"/>
      <c r="AC5" s="481"/>
      <c r="AD5" s="481"/>
      <c r="AE5" s="482"/>
      <c r="AF5" s="152" t="s">
        <v>11</v>
      </c>
      <c r="AG5" s="485" t="s">
        <v>273</v>
      </c>
      <c r="AH5" s="486"/>
      <c r="AI5" s="486"/>
      <c r="AJ5" s="486"/>
      <c r="AK5" s="48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105">
      <c r="A9" s="1">
        <v>1</v>
      </c>
      <c r="B9" s="18" t="s">
        <v>140</v>
      </c>
      <c r="C9" s="102" t="s">
        <v>274</v>
      </c>
      <c r="D9" s="102" t="s">
        <v>275</v>
      </c>
      <c r="E9" s="103" t="s">
        <v>276</v>
      </c>
      <c r="F9" s="18" t="s">
        <v>277</v>
      </c>
      <c r="G9" s="18" t="s">
        <v>85</v>
      </c>
      <c r="H9" s="19" t="str">
        <f>IF(G9="","",IF('[17]Mapa final'!G9='[17]Tabla probabilidad'!$C$4,"MUY BAJA",IF('[17]Mapa final'!G9='[17]Tabla probabilidad'!$C$5,"BAJA",IF('[17]Mapa final'!G9='[17]Tabla probabilidad'!$C$6,"MEDIA",IF('[17]Mapa final'!G9='[17]Tabla probabilidad'!$C$7,"ALTA",IF('[17]Mapa final'!G9='[17]Tabla probabilidad'!$C$8,"MUY ALTA"))))))</f>
        <v>BAJA</v>
      </c>
      <c r="I9" s="20">
        <f>IF(H9="","",IF(H9="Muy Baja",0.2,IF(H9="Baja",0.4,IF(H9="Media",0.6,IF(H9="Alta",0.8,IF(H9="Muy Alta",1,))))))</f>
        <v>0.4</v>
      </c>
      <c r="J9" s="21" t="s">
        <v>278</v>
      </c>
      <c r="K9" s="20" t="str">
        <f>IF(J9="","",IF(NOT(ISERROR(MATCH(J9,'[17]Tabla Impacto'!$B$37:$B$39,0))),'[17]Tabla Impacto'!$F$37&amp;"Por favor no seleccionar los criterios de impacto(Afectación Económica o presupuestal y Pérdida Reputacional)",J9))</f>
        <v xml:space="preserve">     Afectación menor a 10 SMLMV</v>
      </c>
      <c r="L9" s="19" t="str">
        <f>IF(OR(J9='[17]Tabla Impacto'!$F$25,J9='[17]Tabla Impacto'!$F$31),"Leve",IF(OR(J9='[17]Tabla Impacto'!$F$26,J9='[17]Tabla Impacto'!$F$32),"Menor",IF(OR(J9='[17]Tabla Impacto'!$F$27,J9='[17]Tabla Impacto'!$F$33,J9='[17]Tabla Impacto'!$F$37),"Moderado",IF(OR(J9='[17]Tabla Impacto'!$F$28,J9='[17]Tabla Impacto'!$F$34,J9='[17]Tabla Impacto'!$F$38),"Mayor",IF(OR(J9='[17]Tabla Impacto'!$F$29,J9='[17]Tabla Impacto'!$F$35,J9='[17]Tabla Impacto'!$F$39),"Catastrófico","")))))</f>
        <v>Leve</v>
      </c>
      <c r="M9" s="20">
        <f>IF(L9="","",IF(L9="Leve",0.2,IF(L9="Menor",0.4,IF(L9="Moderado",0.6,IF(L9="Mayor",0.8,IF(L9="Catastrófico",1,))))))</f>
        <v>0.2</v>
      </c>
      <c r="N9" s="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279</v>
      </c>
      <c r="Q9" s="24" t="s">
        <v>280</v>
      </c>
      <c r="R9" s="23" t="str">
        <f t="shared" ref="R9:R15"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90">
      <c r="A10" s="231">
        <v>2</v>
      </c>
      <c r="B10" s="232" t="s">
        <v>71</v>
      </c>
      <c r="C10" s="473" t="s">
        <v>281</v>
      </c>
      <c r="D10" s="474" t="s">
        <v>282</v>
      </c>
      <c r="E10" s="475" t="s">
        <v>283</v>
      </c>
      <c r="F10" s="232" t="s">
        <v>56</v>
      </c>
      <c r="G10" s="232" t="s">
        <v>85</v>
      </c>
      <c r="H10" s="226" t="str">
        <f>IF(G10="","",IF('[17]Mapa final'!G10='[17]Tabla probabilidad'!$C$4,"MUY BAJA",IF('[17]Mapa final'!G10='[17]Tabla probabilidad'!$C$5,"BAJA",IF('[17]Mapa final'!G10='[17]Tabla probabilidad'!$C$6,"MEDIA",IF('[17]Mapa final'!G10='[17]Tabla probabilidad'!$C$7,"ALTA",IF('[17]Mapa final'!G10='[17]Tabla probabilidad'!$C$8,"MUY ALTA"))))))</f>
        <v>BAJA</v>
      </c>
      <c r="I10" s="225">
        <f t="shared" ref="I10" si="1">IF(H10="","",IF(H10="Muy Baja",0.2,IF(H10="Baja",0.4,IF(H10="Media",0.6,IF(H10="Alta",0.8,IF(H10="Muy Alta",1,))))))</f>
        <v>0.4</v>
      </c>
      <c r="J10" s="224" t="s">
        <v>58</v>
      </c>
      <c r="K10" s="225" t="str">
        <f>IF(J10="","",IF(NOT(ISERROR(MATCH(J10,'[17]Tabla Impacto'!$B$37:$B$39,0))),'[17]Tabla Impacto'!$F$37&amp;"Por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26" t="str">
        <f>IF(OR(J10='[17]Tabla Impacto'!$F$25,J10='[17]Tabla Impacto'!$F$31),"Leve",IF(OR(J10='[17]Tabla Impacto'!$F$26,J10='[17]Tabla Impacto'!$F$32),"Menor",IF(OR(J10='[17]Tabla Impacto'!$F$27,J10='[17]Tabla Impacto'!$F$33,J10='[17]Tabla Impacto'!$F$37),"Moderado",IF(OR(J10='[17]Tabla Impacto'!$F$28,J10='[17]Tabla Impacto'!$F$34,J10='[17]Tabla Impacto'!$F$38),"Mayor",IF(OR(J10='[17]Tabla Impacto'!$F$29,J10='[17]Tabla Impacto'!$F$35,J10='[17]Tabla Impacto'!$F$39),"Catastrófico","")))))</f>
        <v>Mayor</v>
      </c>
      <c r="M10" s="225">
        <f t="shared" ref="M10" si="2">IF(L10="","",IF(L10="Leve",0.2,IF(L10="Menor",0.4,IF(L10="Moderado",0.6,IF(L10="Mayor",0.8,IF(L10="Catastrófico",1,))))))</f>
        <v>0.8</v>
      </c>
      <c r="N10" s="227" t="str">
        <f t="shared" ref="N10" si="3">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23">
        <v>1</v>
      </c>
      <c r="P10" s="104" t="s">
        <v>284</v>
      </c>
      <c r="Q10" s="24" t="s">
        <v>285</v>
      </c>
      <c r="R10" s="23" t="str">
        <f t="shared" si="0"/>
        <v>Probabilidad</v>
      </c>
      <c r="S10" s="12" t="s">
        <v>61</v>
      </c>
      <c r="T10" s="12" t="s">
        <v>62</v>
      </c>
      <c r="U10" s="25" t="str">
        <f>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ref="Y10:Y15" si="4">IFERROR(IF(R10="Probabilidad",(I10-(+I10*U10)),IF(R10="Impacto",I10,"")),"")</f>
        <v>0.24</v>
      </c>
      <c r="Z10" s="19" t="str">
        <f>IFERROR(IF(Y10="","",IF(Y10&lt;=0.2,"Muy Baja",IF(Y10&lt;=0.4,"Baja",IF(Y10&lt;=0.6,"Media",IF(Y10&lt;=0.8,"Alta","Muy Alta"))))),"")</f>
        <v>Baja</v>
      </c>
      <c r="AA10" s="25">
        <f>+Y10</f>
        <v>0.24</v>
      </c>
      <c r="AB10" s="19" t="str">
        <f>IFERROR(IF(AC10="","",IF(AC10&lt;=0.2,"Leve",IF(AC10&lt;=0.4,"Menor",IF(AC10&lt;=0.6,"Moderado",IF(AC10&lt;=0.8,"Mayor","Catastrófico"))))),"")</f>
        <v>Mayor</v>
      </c>
      <c r="AC10" s="25">
        <f t="shared" ref="AC10:AC15" si="5">IFERROR(IF(R10="Impacto",(M10-(+M10*U10)),IF(R10="Probabilidad",M10,"")),"")</f>
        <v>0.8</v>
      </c>
      <c r="AD10" s="2"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220</v>
      </c>
      <c r="AF10" s="18"/>
      <c r="AG10" s="12"/>
      <c r="AH10" s="27"/>
      <c r="AI10" s="27"/>
      <c r="AJ10" s="18"/>
      <c r="AK10" s="12"/>
    </row>
    <row r="11" spans="1:37" ht="89.25">
      <c r="A11" s="231"/>
      <c r="B11" s="232"/>
      <c r="C11" s="473"/>
      <c r="D11" s="474"/>
      <c r="E11" s="475"/>
      <c r="F11" s="232"/>
      <c r="G11" s="232"/>
      <c r="H11" s="226"/>
      <c r="I11" s="225"/>
      <c r="J11" s="224"/>
      <c r="K11" s="225">
        <f ca="1">IF(NOT(ISERROR(MATCH(J11,_xlfn.ANCHORARRAY(#REF!),0))),#REF!&amp;"Por favor no seleccionar los criterios de impacto",J11)</f>
        <v>0</v>
      </c>
      <c r="L11" s="226"/>
      <c r="M11" s="225"/>
      <c r="N11" s="227"/>
      <c r="O11" s="23">
        <v>2</v>
      </c>
      <c r="P11" s="24" t="s">
        <v>286</v>
      </c>
      <c r="Q11" s="24" t="s">
        <v>287</v>
      </c>
      <c r="R11" s="23" t="str">
        <f t="shared" si="0"/>
        <v>Probabilidad</v>
      </c>
      <c r="S11" s="12" t="s">
        <v>61</v>
      </c>
      <c r="T11" s="12" t="s">
        <v>62</v>
      </c>
      <c r="U11" s="25" t="str">
        <f t="shared" ref="U11" si="6">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v>
      </c>
      <c r="Z11" s="19" t="str">
        <f t="shared" ref="Z11:Z15" si="7">IFERROR(IF(Y11="","",IF(Y11&lt;=0.2,"Muy Baja",IF(Y11&lt;=0.4,"Baja",IF(Y11&lt;=0.6,"Media",IF(Y11&lt;=0.8,"Alta","Muy Alta"))))),"")</f>
        <v>Muy Baja</v>
      </c>
      <c r="AA11" s="25">
        <f t="shared" ref="AA11" si="8">+Y11</f>
        <v>0</v>
      </c>
      <c r="AB11" s="19" t="str">
        <f t="shared" ref="AB11:AB15" si="9">IFERROR(IF(AC11="","",IF(AC11&lt;=0.2,"Leve",IF(AC11&lt;=0.4,"Menor",IF(AC11&lt;=0.6,"Moderado",IF(AC11&lt;=0.8,"Mayor","Catastrófico"))))),"")</f>
        <v>Leve</v>
      </c>
      <c r="AC11" s="25">
        <f t="shared" si="5"/>
        <v>0</v>
      </c>
      <c r="AD11" s="2" t="str">
        <f t="shared" ref="AD11" si="10">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220</v>
      </c>
      <c r="AF11" s="18"/>
      <c r="AG11" s="12"/>
      <c r="AH11" s="27"/>
      <c r="AI11" s="27"/>
      <c r="AJ11" s="18"/>
      <c r="AK11" s="12"/>
    </row>
    <row r="12" spans="1:37" ht="63.75">
      <c r="A12" s="488">
        <v>3</v>
      </c>
      <c r="B12" s="232" t="s">
        <v>71</v>
      </c>
      <c r="C12" s="232" t="s">
        <v>317</v>
      </c>
      <c r="D12" s="232" t="s">
        <v>318</v>
      </c>
      <c r="E12" s="233" t="s">
        <v>319</v>
      </c>
      <c r="F12" s="232" t="s">
        <v>603</v>
      </c>
      <c r="G12" s="232" t="s">
        <v>76</v>
      </c>
      <c r="H12" s="490" t="s">
        <v>194</v>
      </c>
      <c r="I12" s="225">
        <v>0.8</v>
      </c>
      <c r="J12" s="224" t="s">
        <v>316</v>
      </c>
      <c r="K12" s="225" t="str">
        <f>IF(J12="","",IF(NOT(ISERROR(MATCH(J12,'[18]Tabla Impacto'!$B$37:$B$39,0))),'[18]Tabla Impacto'!$F$37&amp;"Por favor no seleccionar los criterios de impacto(Afectación Económica o presupuestal y Pérdida Reputacional)",J12))</f>
        <v xml:space="preserve">     Genera altas consecuencias sobre la entidad</v>
      </c>
      <c r="L12" s="226" t="str">
        <f>IF(OR(J12='[18]Tabla Impacto'!$F$25,J12='[18]Tabla Impacto'!$F$31),"Leve",IF(OR(J12='[18]Tabla Impacto'!$F$26,J12='[18]Tabla Impacto'!$F$32),"Menor",IF(OR(J12='[18]Tabla Impacto'!$F$27,J12='[18]Tabla Impacto'!$F$33,J12='[18]Tabla Impacto'!$F$37),"Moderado",IF(OR(J12='[18]Tabla Impacto'!$F$28,J12='[18]Tabla Impacto'!$F$34,J12='[18]Tabla Impacto'!$F$38),"Mayor",IF(OR(J12='[18]Tabla Impacto'!$F$29,J12='[18]Tabla Impacto'!$F$35,J12='[18]Tabla Impacto'!$F$39),"Catastrófico","")))))</f>
        <v>Mayor</v>
      </c>
      <c r="M12" s="225">
        <f t="shared" ref="M12" si="11">IF(L12="","",IF(L12="Leve",0.2,IF(L12="Menor",0.4,IF(L12="Moderado",0.6,IF(L12="Mayor",0.8,IF(L12="Catastrófico",1,))))))</f>
        <v>0.8</v>
      </c>
      <c r="N12" s="227" t="s">
        <v>194</v>
      </c>
      <c r="O12" s="23">
        <v>1</v>
      </c>
      <c r="P12" s="24" t="s">
        <v>320</v>
      </c>
      <c r="Q12" s="24" t="s">
        <v>321</v>
      </c>
      <c r="R12" s="23" t="str">
        <f t="shared" si="0"/>
        <v>Probabilidad</v>
      </c>
      <c r="S12" s="12" t="s">
        <v>61</v>
      </c>
      <c r="T12" s="12" t="s">
        <v>62</v>
      </c>
      <c r="U12" s="25" t="str">
        <f>IF(AND(S12="Preventivo",T12="Automático"),"50%",IF(AND(S12="Preventivo",T12="Manual"),"40%",IF(AND(S12="Detectivo",T12="Automático"),"40%",IF(AND(S12="Detectivo",T12="Manual"),"30%",IF(AND(S12="Correctivo",T12="Automático"),"35%",IF(AND(S12="Correctivo",T12="Manual"),"25%",""))))))</f>
        <v>40%</v>
      </c>
      <c r="V12" s="12" t="s">
        <v>70</v>
      </c>
      <c r="W12" s="12" t="s">
        <v>123</v>
      </c>
      <c r="X12" s="12" t="s">
        <v>65</v>
      </c>
      <c r="Y12" s="26">
        <f t="shared" si="4"/>
        <v>0.48</v>
      </c>
      <c r="Z12" s="19" t="str">
        <f>IFERROR(IF(Y12="","",IF(Y12&lt;=0.2,"Muy Baja",IF(Y12&lt;=0.4,"Baja",IF(Y12&lt;=0.6,"Media",IF(Y12&lt;=0.8,"Alta","Muy Alta"))))),"")</f>
        <v>Media</v>
      </c>
      <c r="AA12" s="25">
        <f>+Y12</f>
        <v>0.48</v>
      </c>
      <c r="AB12" s="19" t="str">
        <f>IFERROR(IF(AC12="","",IF(AC12&lt;=0.2,"Leve",IF(AC12&lt;=0.4,"Menor",IF(AC12&lt;=0.6,"Moderado",IF(AC12&lt;=0.8,"Mayor","Catastrófico"))))),"")</f>
        <v>Mayor</v>
      </c>
      <c r="AC12" s="25">
        <f t="shared" si="5"/>
        <v>0.8</v>
      </c>
      <c r="AD12" s="2"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Alto</v>
      </c>
      <c r="AE12" s="12" t="s">
        <v>220</v>
      </c>
      <c r="AF12" s="18"/>
      <c r="AG12" s="12"/>
      <c r="AH12" s="27"/>
      <c r="AI12" s="27"/>
      <c r="AJ12" s="18"/>
      <c r="AK12" s="12"/>
    </row>
    <row r="13" spans="1:37" ht="76.5">
      <c r="A13" s="489"/>
      <c r="B13" s="232"/>
      <c r="C13" s="232"/>
      <c r="D13" s="232"/>
      <c r="E13" s="233"/>
      <c r="F13" s="232"/>
      <c r="G13" s="232"/>
      <c r="H13" s="491"/>
      <c r="I13" s="225"/>
      <c r="J13" s="224"/>
      <c r="K13" s="225">
        <f ca="1">IF(NOT(ISERROR(MATCH(J13,_xlfn.ANCHORARRAY(#REF!),0))),#REF!&amp;"Por favor no seleccionar los criterios de impacto",J13)</f>
        <v>0</v>
      </c>
      <c r="L13" s="226"/>
      <c r="M13" s="225"/>
      <c r="N13" s="227"/>
      <c r="O13" s="23">
        <v>2</v>
      </c>
      <c r="P13" s="24" t="s">
        <v>322</v>
      </c>
      <c r="Q13" s="24" t="s">
        <v>323</v>
      </c>
      <c r="R13" s="23" t="str">
        <f t="shared" si="0"/>
        <v>Probabilidad</v>
      </c>
      <c r="S13" s="12" t="s">
        <v>61</v>
      </c>
      <c r="T13" s="12" t="s">
        <v>62</v>
      </c>
      <c r="U13" s="25" t="str">
        <f t="shared" ref="U13" si="12">IF(AND(S13="Preventivo",T13="Automático"),"50%",IF(AND(S13="Preventivo",T13="Manual"),"40%",IF(AND(S13="Detectivo",T13="Automático"),"40%",IF(AND(S13="Detectivo",T13="Manual"),"30%",IF(AND(S13="Correctivo",T13="Automático"),"35%",IF(AND(S13="Correctivo",T13="Manual"),"25%",""))))))</f>
        <v>40%</v>
      </c>
      <c r="V13" s="12" t="s">
        <v>70</v>
      </c>
      <c r="W13" s="12" t="s">
        <v>123</v>
      </c>
      <c r="X13" s="12" t="s">
        <v>65</v>
      </c>
      <c r="Y13" s="26">
        <f t="shared" si="4"/>
        <v>0</v>
      </c>
      <c r="Z13" s="19" t="str">
        <f t="shared" ref="Z13" si="13">IFERROR(IF(Y13="","",IF(Y13&lt;=0.2,"Muy Baja",IF(Y13&lt;=0.4,"Baja",IF(Y13&lt;=0.6,"Media",IF(Y13&lt;=0.8,"Alta","Muy Alta"))))),"")</f>
        <v>Muy Baja</v>
      </c>
      <c r="AA13" s="25">
        <f t="shared" ref="AA13" si="14">+Y13</f>
        <v>0</v>
      </c>
      <c r="AB13" s="19" t="str">
        <f t="shared" ref="AB13" si="15">IFERROR(IF(AC13="","",IF(AC13&lt;=0.2,"Leve",IF(AC13&lt;=0.4,"Menor",IF(AC13&lt;=0.6,"Moderado",IF(AC13&lt;=0.8,"Mayor","Catastrófico"))))),"")</f>
        <v>Leve</v>
      </c>
      <c r="AC13" s="25">
        <f t="shared" si="5"/>
        <v>0</v>
      </c>
      <c r="AD13" s="2" t="str">
        <f t="shared" ref="AD13" si="16">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t="s">
        <v>220</v>
      </c>
      <c r="AF13" s="18"/>
      <c r="AG13" s="12"/>
      <c r="AH13" s="27"/>
      <c r="AI13" s="27"/>
      <c r="AJ13" s="18"/>
      <c r="AK13" s="12"/>
    </row>
    <row r="14" spans="1:37" ht="81" customHeight="1">
      <c r="A14" s="469">
        <v>4</v>
      </c>
      <c r="B14" s="273" t="s">
        <v>140</v>
      </c>
      <c r="C14" s="471" t="s">
        <v>288</v>
      </c>
      <c r="D14" s="471" t="s">
        <v>289</v>
      </c>
      <c r="E14" s="471" t="s">
        <v>290</v>
      </c>
      <c r="F14" s="273" t="s">
        <v>291</v>
      </c>
      <c r="G14" s="273" t="s">
        <v>57</v>
      </c>
      <c r="H14" s="275" t="str">
        <f>IF(G14="","",IF('[17]Mapa final'!G12='[17]Tabla probabilidad'!$C$4,"MUY BAJA",IF('[17]Mapa final'!G12='[17]Tabla probabilidad'!$C$5,"BAJA",IF('[17]Mapa final'!G12='[17]Tabla probabilidad'!$C$6,"MEDIA",IF('[17]Mapa final'!G12='[17]Tabla probabilidad'!$C$7,"ALTA",IF('[17]Mapa final'!G12='[17]Tabla probabilidad'!$C$8,"MUY ALTA"))))))</f>
        <v>MEDIA</v>
      </c>
      <c r="I14" s="277">
        <f t="shared" ref="I14" si="17">IF(H14="","",IF(H14="Muy Baja",0.2,IF(H14="Baja",0.4,IF(H14="Media",0.6,IF(H14="Alta",0.8,IF(H14="Muy Alta",1,))))))</f>
        <v>0.6</v>
      </c>
      <c r="J14" s="279" t="s">
        <v>145</v>
      </c>
      <c r="K14" s="277" t="str">
        <f>IF(J14="","",IF(NOT(ISERROR(MATCH(J14,'[17]Tabla Impacto'!$B$37:$B$39,0))),'[17]Tabla Impacto'!$F$37&amp;"Por favor no seleccionar los criterios de impacto(Afectación Económica o presupuestal y Pérdida Reputacional)",J14))</f>
        <v xml:space="preserve">     Entre 100 y 500 SMLMV </v>
      </c>
      <c r="L14" s="275" t="str">
        <f>IF(OR(J14='[17]Tabla Impacto'!$F$25,J14='[17]Tabla Impacto'!$F$31),"Leve",IF(OR(J14='[17]Tabla Impacto'!$F$26,J14='[17]Tabla Impacto'!$F$32),"Menor",IF(OR(J14='[17]Tabla Impacto'!$F$27,J14='[17]Tabla Impacto'!$F$33,J14='[17]Tabla Impacto'!$F$37),"Moderado",IF(OR(J14='[17]Tabla Impacto'!$F$28,J14='[17]Tabla Impacto'!$F$34,J14='[17]Tabla Impacto'!$F$38),"Mayor",IF(OR(J14='[17]Tabla Impacto'!$F$29,J14='[17]Tabla Impacto'!$F$35,J14='[17]Tabla Impacto'!$F$39),"Catastrófico","")))))</f>
        <v>Mayor</v>
      </c>
      <c r="M14" s="277">
        <f t="shared" ref="M14" si="18">IF(L14="","",IF(L14="Leve",0.2,IF(L14="Menor",0.4,IF(L14="Moderado",0.6,IF(L14="Mayor",0.8,IF(L14="Catastrófico",1,))))))</f>
        <v>0.8</v>
      </c>
      <c r="N14" s="467" t="str">
        <f t="shared" ref="N14" si="19">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Alto</v>
      </c>
      <c r="O14" s="23">
        <v>1</v>
      </c>
      <c r="P14" s="24" t="s">
        <v>292</v>
      </c>
      <c r="Q14" s="24" t="s">
        <v>293</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64</v>
      </c>
      <c r="X14" s="12" t="s">
        <v>65</v>
      </c>
      <c r="Y14" s="26">
        <f t="shared" si="4"/>
        <v>0.36</v>
      </c>
      <c r="Z14" s="19" t="str">
        <f>IFERROR(IF(Y14="","",IF(Y14&lt;=0.2,"Muy Baja",IF(Y14&lt;=0.4,"Baja",IF(Y14&lt;=0.6,"Media",IF(Y14&lt;=0.8,"Alta","Muy Alta"))))),"")</f>
        <v>Baja</v>
      </c>
      <c r="AA14" s="25">
        <f>+Y14</f>
        <v>0.36</v>
      </c>
      <c r="AB14" s="19" t="str">
        <f>IFERROR(IF(AC14="","",IF(AC14&lt;=0.2,"Leve",IF(AC14&lt;=0.4,"Menor",IF(AC14&lt;=0.6,"Moderado",IF(AC14&lt;=0.8,"Mayor","Catastrófico"))))),"")</f>
        <v>Mayor</v>
      </c>
      <c r="AC14" s="25">
        <f t="shared" si="5"/>
        <v>0.8</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Alto</v>
      </c>
      <c r="AE14" s="12" t="s">
        <v>220</v>
      </c>
      <c r="AF14" s="18"/>
      <c r="AG14" s="12"/>
      <c r="AH14" s="27"/>
      <c r="AI14" s="27"/>
      <c r="AJ14" s="18"/>
      <c r="AK14" s="12"/>
    </row>
    <row r="15" spans="1:37" ht="96" customHeight="1">
      <c r="A15" s="470"/>
      <c r="B15" s="274"/>
      <c r="C15" s="472"/>
      <c r="D15" s="472"/>
      <c r="E15" s="472"/>
      <c r="F15" s="274"/>
      <c r="G15" s="274"/>
      <c r="H15" s="276"/>
      <c r="I15" s="278"/>
      <c r="J15" s="280"/>
      <c r="K15" s="278">
        <f ca="1">IF(NOT(ISERROR(MATCH(J15,_xlfn.ANCHORARRAY(#REF!),0))),#REF!&amp;"Por favor no seleccionar los criterios de impacto",J15)</f>
        <v>0</v>
      </c>
      <c r="L15" s="276"/>
      <c r="M15" s="278"/>
      <c r="N15" s="468"/>
      <c r="O15" s="23">
        <v>2</v>
      </c>
      <c r="P15" s="24" t="s">
        <v>294</v>
      </c>
      <c r="Q15" s="24" t="s">
        <v>295</v>
      </c>
      <c r="R15" s="23" t="str">
        <f t="shared" si="0"/>
        <v>Probabilidad</v>
      </c>
      <c r="S15" s="12" t="s">
        <v>61</v>
      </c>
      <c r="T15" s="12" t="s">
        <v>62</v>
      </c>
      <c r="U15" s="25" t="str">
        <f t="shared" ref="U15" si="20">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4"/>
        <v>0</v>
      </c>
      <c r="Z15" s="19" t="str">
        <f t="shared" si="7"/>
        <v>Muy Baja</v>
      </c>
      <c r="AA15" s="25">
        <f t="shared" ref="AA15" si="21">+Y15</f>
        <v>0</v>
      </c>
      <c r="AB15" s="19" t="str">
        <f t="shared" si="9"/>
        <v>Leve</v>
      </c>
      <c r="AC15" s="25">
        <f t="shared" si="5"/>
        <v>0</v>
      </c>
      <c r="AD15" s="2" t="str">
        <f t="shared" ref="AD15" si="22">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Bajo</v>
      </c>
      <c r="AE15" s="12" t="s">
        <v>220</v>
      </c>
      <c r="AF15" s="18"/>
      <c r="AG15" s="12"/>
      <c r="AH15" s="27"/>
      <c r="AI15" s="27"/>
      <c r="AJ15" s="18"/>
      <c r="AK15" s="12"/>
    </row>
    <row r="16" spans="1:37">
      <c r="A16" s="228" t="s">
        <v>97</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30"/>
    </row>
    <row r="17" spans="1:37">
      <c r="A17" s="28"/>
      <c r="B17" s="29" t="s">
        <v>98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37" ht="16.5">
      <c r="A18" s="3"/>
      <c r="B18" s="3"/>
      <c r="C18" s="3"/>
      <c r="D18" s="3"/>
      <c r="E18" s="5"/>
      <c r="F18" s="3"/>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sheetData>
  <mergeCells count="93">
    <mergeCell ref="L12:L13"/>
    <mergeCell ref="M12:M13"/>
    <mergeCell ref="N12:N13"/>
    <mergeCell ref="A12:A13"/>
    <mergeCell ref="G12:G13"/>
    <mergeCell ref="H12:H13"/>
    <mergeCell ref="I12:I13"/>
    <mergeCell ref="J12:J13"/>
    <mergeCell ref="K12:K13"/>
    <mergeCell ref="B12:B13"/>
    <mergeCell ref="C12:C13"/>
    <mergeCell ref="D12:D13"/>
    <mergeCell ref="E12:E13"/>
    <mergeCell ref="F12:F13"/>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I7:AI8"/>
    <mergeCell ref="S7:X7"/>
    <mergeCell ref="Y7:Y8"/>
    <mergeCell ref="Z7:Z8"/>
    <mergeCell ref="AA7:AA8"/>
    <mergeCell ref="AB7:AB8"/>
    <mergeCell ref="AC7:AC8"/>
    <mergeCell ref="N10:N11"/>
    <mergeCell ref="AJ7:AJ8"/>
    <mergeCell ref="AK7:AK8"/>
    <mergeCell ref="A10:A11"/>
    <mergeCell ref="B10:B11"/>
    <mergeCell ref="C10:C11"/>
    <mergeCell ref="D10:D11"/>
    <mergeCell ref="E10:E11"/>
    <mergeCell ref="F10:F11"/>
    <mergeCell ref="G10:G11"/>
    <mergeCell ref="H10:H11"/>
    <mergeCell ref="AD7:AD8"/>
    <mergeCell ref="AE7:AE8"/>
    <mergeCell ref="AF7:AF8"/>
    <mergeCell ref="AG7:AG8"/>
    <mergeCell ref="AH7:AH8"/>
    <mergeCell ref="I10:I11"/>
    <mergeCell ref="J10:J11"/>
    <mergeCell ref="K10:K11"/>
    <mergeCell ref="L10:L11"/>
    <mergeCell ref="M10:M11"/>
    <mergeCell ref="M14:M15"/>
    <mergeCell ref="N14:N15"/>
    <mergeCell ref="A16:AK16"/>
    <mergeCell ref="G14:G15"/>
    <mergeCell ref="H14:H15"/>
    <mergeCell ref="I14:I15"/>
    <mergeCell ref="J14:J15"/>
    <mergeCell ref="K14:K15"/>
    <mergeCell ref="L14:L15"/>
    <mergeCell ref="A14:A15"/>
    <mergeCell ref="B14:B15"/>
    <mergeCell ref="C14:C15"/>
    <mergeCell ref="D14:D15"/>
    <mergeCell ref="E14:E15"/>
    <mergeCell ref="F14:F15"/>
  </mergeCells>
  <conditionalFormatting sqref="H9:H10 H14">
    <cfRule type="cellIs" dxfId="361" priority="40" operator="equal">
      <formula>"Muy Alta"</formula>
    </cfRule>
    <cfRule type="cellIs" dxfId="360" priority="41" operator="equal">
      <formula>"Alta"</formula>
    </cfRule>
    <cfRule type="cellIs" dxfId="359" priority="42" operator="equal">
      <formula>"Media"</formula>
    </cfRule>
    <cfRule type="cellIs" dxfId="358" priority="43" operator="equal">
      <formula>"Baja"</formula>
    </cfRule>
    <cfRule type="cellIs" dxfId="357" priority="44" operator="equal">
      <formula>"Muy Baja"</formula>
    </cfRule>
  </conditionalFormatting>
  <conditionalFormatting sqref="K9:K15">
    <cfRule type="containsText" dxfId="356" priority="1" operator="containsText" text="❌">
      <formula>NOT(ISERROR(SEARCH("❌",K9)))</formula>
    </cfRule>
  </conditionalFormatting>
  <conditionalFormatting sqref="L9:L10 L14">
    <cfRule type="cellIs" dxfId="355" priority="35" operator="equal">
      <formula>"Catastrófico"</formula>
    </cfRule>
    <cfRule type="cellIs" dxfId="354" priority="36" operator="equal">
      <formula>"Mayor"</formula>
    </cfRule>
    <cfRule type="cellIs" dxfId="353" priority="37" operator="equal">
      <formula>"Moderado"</formula>
    </cfRule>
    <cfRule type="cellIs" dxfId="352" priority="38" operator="equal">
      <formula>"Menor"</formula>
    </cfRule>
    <cfRule type="cellIs" dxfId="351" priority="39" operator="equal">
      <formula>"Leve"</formula>
    </cfRule>
  </conditionalFormatting>
  <conditionalFormatting sqref="N9:N10 N14">
    <cfRule type="cellIs" dxfId="350" priority="31" operator="equal">
      <formula>"Extremo"</formula>
    </cfRule>
    <cfRule type="cellIs" dxfId="349" priority="32" operator="equal">
      <formula>"Alto"</formula>
    </cfRule>
    <cfRule type="cellIs" dxfId="348" priority="33" operator="equal">
      <formula>"Moderado"</formula>
    </cfRule>
    <cfRule type="cellIs" dxfId="347" priority="34" operator="equal">
      <formula>"Bajo"</formula>
    </cfRule>
  </conditionalFormatting>
  <conditionalFormatting sqref="Z9:Z15 H12">
    <cfRule type="cellIs" dxfId="346" priority="11" operator="equal">
      <formula>"Muy Alta"</formula>
    </cfRule>
    <cfRule type="cellIs" dxfId="345" priority="12" operator="equal">
      <formula>"Alta"</formula>
    </cfRule>
    <cfRule type="cellIs" dxfId="344" priority="13" operator="equal">
      <formula>"Media"</formula>
    </cfRule>
    <cfRule type="cellIs" dxfId="343" priority="14" operator="equal">
      <formula>"Baja"</formula>
    </cfRule>
    <cfRule type="cellIs" dxfId="342" priority="15" operator="equal">
      <formula>"Muy Baja"</formula>
    </cfRule>
  </conditionalFormatting>
  <conditionalFormatting sqref="AB9:AB15 L12">
    <cfRule type="cellIs" dxfId="341" priority="6" operator="equal">
      <formula>"Catastrófico"</formula>
    </cfRule>
    <cfRule type="cellIs" dxfId="340" priority="7" operator="equal">
      <formula>"Mayor"</formula>
    </cfRule>
    <cfRule type="cellIs" dxfId="339" priority="8" operator="equal">
      <formula>"Moderado"</formula>
    </cfRule>
    <cfRule type="cellIs" dxfId="338" priority="9" operator="equal">
      <formula>"Menor"</formula>
    </cfRule>
    <cfRule type="cellIs" dxfId="337" priority="10" operator="equal">
      <formula>"Leve"</formula>
    </cfRule>
  </conditionalFormatting>
  <conditionalFormatting sqref="AD9:AD15 N12">
    <cfRule type="cellIs" dxfId="336" priority="2" operator="equal">
      <formula>"Extremo"</formula>
    </cfRule>
    <cfRule type="cellIs" dxfId="335" priority="3" operator="equal">
      <formula>"Alto"</formula>
    </cfRule>
    <cfRule type="cellIs" dxfId="334" priority="4" operator="equal">
      <formula>"Moderado"</formula>
    </cfRule>
    <cfRule type="cellIs" dxfId="333" priority="5" operator="equal">
      <formula>"Bajo"</formula>
    </cfRule>
  </conditionalFormatting>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7251-6853-4A70-B823-D095627ED359}">
  <sheetPr>
    <tabColor theme="5"/>
  </sheetPr>
  <dimension ref="A1:AK31"/>
  <sheetViews>
    <sheetView topLeftCell="E7" zoomScale="80" zoomScaleNormal="80" workbookViewId="0">
      <selection activeCell="F9" sqref="F9:F10"/>
    </sheetView>
  </sheetViews>
  <sheetFormatPr baseColWidth="10" defaultRowHeight="15"/>
  <cols>
    <col min="5" max="5" width="39.140625" customWidth="1"/>
    <col min="6" max="6" width="15" customWidth="1"/>
    <col min="16" max="16" width="38.85546875" customWidth="1"/>
    <col min="17" max="17" width="20"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c r="D5" s="255"/>
      <c r="E5" s="255"/>
      <c r="F5" s="255"/>
      <c r="G5" s="255"/>
      <c r="H5" s="256" t="s">
        <v>7</v>
      </c>
      <c r="I5" s="256"/>
      <c r="J5" s="255"/>
      <c r="K5" s="255"/>
      <c r="L5" s="255"/>
      <c r="M5" s="255"/>
      <c r="N5" s="255"/>
      <c r="O5" s="256" t="s">
        <v>9</v>
      </c>
      <c r="P5" s="256"/>
      <c r="Q5" s="418"/>
      <c r="R5" s="419"/>
      <c r="S5" s="419"/>
      <c r="T5" s="419"/>
      <c r="U5" s="419"/>
      <c r="V5" s="419"/>
      <c r="W5" s="419"/>
      <c r="X5" s="419"/>
      <c r="Y5" s="419"/>
      <c r="Z5" s="419"/>
      <c r="AA5" s="419"/>
      <c r="AB5" s="419"/>
      <c r="AC5" s="419"/>
      <c r="AD5" s="419"/>
      <c r="AE5" s="420"/>
      <c r="AF5" s="152" t="s">
        <v>11</v>
      </c>
      <c r="AG5" s="417"/>
      <c r="AH5" s="417"/>
      <c r="AI5" s="417"/>
      <c r="AJ5" s="417"/>
      <c r="AK5" s="417"/>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89.25">
      <c r="A9" s="231">
        <v>1</v>
      </c>
      <c r="B9" s="232" t="s">
        <v>71</v>
      </c>
      <c r="C9" s="232" t="s">
        <v>324</v>
      </c>
      <c r="D9" s="232" t="s">
        <v>325</v>
      </c>
      <c r="E9" s="233" t="s">
        <v>326</v>
      </c>
      <c r="F9" s="232" t="s">
        <v>277</v>
      </c>
      <c r="G9" s="232" t="s">
        <v>327</v>
      </c>
      <c r="H9" s="226" t="str">
        <f>IF(G9="","",IF('[19]Mapa final'!G9='[19]Tabla probabilidad'!$C$4,"MUY BAJA",IF('[19]Mapa final'!G9='[19]Tabla probabilidad'!$C$5,"BAJA",IF('[19]Mapa final'!G9='[19]Tabla probabilidad'!$C$6,"MEDIA",IF('[19]Mapa final'!G9='[19]Tabla probabilidad'!$C$7,"ALTA",IF('[19]Mapa final'!G9='[19]Tabla probabilidad'!$C$8,"MUY ALTA"))))))</f>
        <v>MUY BAJA</v>
      </c>
      <c r="I9" s="225">
        <f>IF(H9="","",IF(H9="Muy Baja",0.2,IF(H9="Baja",0.4,IF(H9="Media",0.6,IF(H9="Alta",0.8,IF(H9="Muy Alta",1,))))))</f>
        <v>0.2</v>
      </c>
      <c r="J9" s="224" t="s">
        <v>328</v>
      </c>
      <c r="K9" s="225" t="str">
        <f>IF(J9="","",IF(NOT(ISERROR(MATCH(J9,'[19]Tabla Impacto'!$B$37:$B$39,0))),'[19]Tabla Impacto'!$F$37&amp;"Por favor no seleccionar los criterios de impacto(Afectación Económica o presupuestal y Pérdida Reputacional)",J9))</f>
        <v xml:space="preserve">     El riesgo afecta la imagen de alguna área de la organización</v>
      </c>
      <c r="L9" s="226" t="str">
        <f>IF(OR(J9='[19]Tabla Impacto'!$F$25,J9='[19]Tabla Impacto'!$F$31),"Leve",IF(OR(J9='[19]Tabla Impacto'!$F$26,J9='[19]Tabla Impacto'!$F$32),"Menor",IF(OR(J9='[19]Tabla Impacto'!$F$27,J9='[19]Tabla Impacto'!$F$33,J9='[19]Tabla Impacto'!$F$37),"Moderado",IF(OR(J9='[19]Tabla Impacto'!$F$28,J9='[19]Tabla Impacto'!$F$34,J9='[19]Tabla Impacto'!$F$38),"Mayor",IF(OR(J9='[19]Tabla Impacto'!$F$29,J9='[19]Tabla Impacto'!$F$35,J9='[19]Tabla Impacto'!$F$39),"Catastrófico","")))))</f>
        <v>Leve</v>
      </c>
      <c r="M9" s="225">
        <f>IF(L9="","",IF(L9="Leve",0.2,IF(L9="Menor",0.4,IF(L9="Moderado",0.6,IF(L9="Mayor",0.8,IF(L9="Catastrófico",1,))))))</f>
        <v>0.2</v>
      </c>
      <c r="N9" s="22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329</v>
      </c>
      <c r="Q9" s="24" t="s">
        <v>330</v>
      </c>
      <c r="R9" s="23" t="str">
        <f t="shared" ref="R9:R28"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123</v>
      </c>
      <c r="X9" s="12" t="s">
        <v>65</v>
      </c>
      <c r="Y9" s="26">
        <f>IFERROR(IF(R9="Probabilidad",(I9-(+I9*U9)),IF(R9="Impacto",I9,"")),"")</f>
        <v>0.12</v>
      </c>
      <c r="Z9" s="19" t="str">
        <f>IFERROR(IF(Y9="","",IF(Y9&lt;=0.2,"Muy Baja",IF(Y9&lt;=0.4,"Baja",IF(Y9&lt;=0.6,"Media",IF(Y9&lt;=0.8,"Alta","Muy Alta"))))),"")</f>
        <v>Muy Baja</v>
      </c>
      <c r="AA9" s="25">
        <f>+Y9</f>
        <v>0.12</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15.75" thickBot="1">
      <c r="A10" s="231"/>
      <c r="B10" s="232"/>
      <c r="C10" s="232"/>
      <c r="D10" s="232"/>
      <c r="E10" s="233"/>
      <c r="F10" s="232"/>
      <c r="G10" s="232"/>
      <c r="H10" s="226"/>
      <c r="I10" s="225"/>
      <c r="J10" s="224"/>
      <c r="K10" s="225">
        <f ca="1">IF(NOT(ISERROR(MATCH(J10,_xlfn.ANCHORARRAY(E13),0))),#REF!&amp;"Por favor no seleccionar los criterios de impacto",J10)</f>
        <v>0</v>
      </c>
      <c r="L10" s="226"/>
      <c r="M10" s="225"/>
      <c r="N10" s="227"/>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86.25" customHeight="1">
      <c r="A11" s="495">
        <v>2</v>
      </c>
      <c r="B11" s="374" t="s">
        <v>71</v>
      </c>
      <c r="C11" s="374" t="s">
        <v>435</v>
      </c>
      <c r="D11" s="374" t="s">
        <v>436</v>
      </c>
      <c r="E11" s="377" t="s">
        <v>437</v>
      </c>
      <c r="F11" s="492" t="s">
        <v>56</v>
      </c>
      <c r="G11" s="374">
        <v>15</v>
      </c>
      <c r="H11" s="379" t="str">
        <f>IF(G11&lt;=0,"",IF(G11&lt;=2,"Muy Baja",IF(G11&lt;=24,"Baja",IF(G11&lt;=500,"Media",IF(G11&lt;=5000,"Alta","Muy Alta")))))</f>
        <v>Baja</v>
      </c>
      <c r="I11" s="380">
        <f>IF(H11="","",IF(H11="Muy Baja",0.2,IF(H11="Baja",0.4,IF(H11="Media",0.6,IF(H11="Alta",0.8,IF(H11="Muy Alta",1,))))))</f>
        <v>0.4</v>
      </c>
      <c r="J11" s="494" t="s">
        <v>328</v>
      </c>
      <c r="K11" s="493" t="str">
        <f>IF(NOT(ISERROR(MATCH(J11,'[20]Tabla Impacto'!$B$221:$B$223,0))),'[20]Tabla Impacto'!$F$223&amp;"Por favor no seleccionar los criterios de impacto(Afectación Económica o presupuestal y Pérdida Reputacional)",J11)</f>
        <v xml:space="preserve">     El riesgo afecta la imagen de alguna área de la organización</v>
      </c>
      <c r="L11" s="379" t="str">
        <f>IF(OR(K11='[20]Tabla Impacto'!$C$11,K11='[20]Tabla Impacto'!$D$11),"Leve",IF(OR(K11='[20]Tabla Impacto'!$C$12,K11='[20]Tabla Impacto'!$D$12),"Menor",IF(OR(K11='[20]Tabla Impacto'!$C$13,K11='[20]Tabla Impacto'!$D$13),"Moderado",IF(OR(K11='[20]Tabla Impacto'!$C$14,K11='[20]Tabla Impacto'!$D$14),"Mayor",IF(OR(K11='[20]Tabla Impacto'!$C$15,K11='[20]Tabla Impacto'!$D$15),"Catastrófico","")))))</f>
        <v>Leve</v>
      </c>
      <c r="M11" s="380">
        <f>IF(L11="","",IF(L11="Leve",0.2,IF(L11="Menor",0.4,IF(L11="Moderado",0.6,IF(L11="Mayor",0.8,IF(L11="Catastrófico",1,))))))</f>
        <v>0.2</v>
      </c>
      <c r="N11" s="379"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159">
        <v>1</v>
      </c>
      <c r="P11" s="43" t="s">
        <v>438</v>
      </c>
      <c r="Q11" s="496" t="s">
        <v>439</v>
      </c>
      <c r="R11" s="195" t="str">
        <f t="shared" si="0"/>
        <v>Impacto</v>
      </c>
      <c r="S11" s="196" t="s">
        <v>122</v>
      </c>
      <c r="T11" s="161" t="s">
        <v>62</v>
      </c>
      <c r="U11" s="158" t="str">
        <f>IF(AND(S11="Preventivo",T11="Automático"),"50%",IF(AND(S11="Preventivo",T11="Manual"),"40%",IF(AND(S11="Detectivo",T11="Automático"),"40%",IF(AND(S11="Detectivo",T11="Manual"),"30%",IF(AND(S11="Correctivo",T11="Automático"),"35%",IF(AND(S11="Correctivo",T11="Manual"),"25%",""))))))</f>
        <v>25%</v>
      </c>
      <c r="V11" s="161" t="s">
        <v>70</v>
      </c>
      <c r="W11" s="161" t="s">
        <v>64</v>
      </c>
      <c r="X11" s="161" t="s">
        <v>65</v>
      </c>
      <c r="Y11" s="162">
        <f>IFERROR(IF(R11="Probabilidad",(I11-(+I11*U11)),IF(R11="Impacto",I11,"")),"")</f>
        <v>0.4</v>
      </c>
      <c r="Z11" s="52" t="str">
        <f>IFERROR(IF(Y11="","",IF(Y11&lt;=0.2,"Muy Baja",IF(Y11&lt;=0.4,"Baja",IF(Y11&lt;=0.6,"Media",IF(Y11&lt;=0.8,"Alta","Muy Alta"))))),"")</f>
        <v>Baja</v>
      </c>
      <c r="AA11" s="158">
        <f>+Y11</f>
        <v>0.4</v>
      </c>
      <c r="AB11" s="52" t="str">
        <f>IFERROR(IF(AC11="","",IF(AC11&lt;=0.2,"Leve",IF(AC11&lt;=0.4,"Menor",IF(AC11&lt;=0.6,"Moderado",IF(AC11&lt;=0.8,"Mayor","Catastrófico"))))),"")</f>
        <v>Leve</v>
      </c>
      <c r="AC11" s="158">
        <f>IFERROR(IF(R11="Impacto",(M11-(+M11*U11)),IF(R11="Probabilidad",M11,"")),"")</f>
        <v>0.15000000000000002</v>
      </c>
      <c r="AD11" s="5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61" t="s">
        <v>221</v>
      </c>
      <c r="AF11" s="81"/>
      <c r="AG11" s="81"/>
      <c r="AH11" s="163"/>
      <c r="AI11" s="163"/>
      <c r="AJ11" s="81"/>
      <c r="AK11" s="81"/>
    </row>
    <row r="12" spans="1:37" ht="81" customHeight="1" thickBot="1">
      <c r="A12" s="495"/>
      <c r="B12" s="374"/>
      <c r="C12" s="374"/>
      <c r="D12" s="374"/>
      <c r="E12" s="377"/>
      <c r="F12" s="492"/>
      <c r="G12" s="374"/>
      <c r="H12" s="379"/>
      <c r="I12" s="380"/>
      <c r="J12" s="494"/>
      <c r="K12" s="493">
        <f ca="1">IF(NOT(ISERROR(MATCH(J12,_xlfn.ANCHORARRAY(E15),0))),#REF!&amp;"Por favor no seleccionar los criterios de impacto",J12)</f>
        <v>0</v>
      </c>
      <c r="L12" s="379"/>
      <c r="M12" s="380"/>
      <c r="N12" s="379"/>
      <c r="O12" s="159">
        <v>2</v>
      </c>
      <c r="P12" s="192" t="s">
        <v>440</v>
      </c>
      <c r="Q12" s="497"/>
      <c r="R12" s="195" t="str">
        <f t="shared" si="0"/>
        <v>Impacto</v>
      </c>
      <c r="S12" s="196" t="s">
        <v>122</v>
      </c>
      <c r="T12" s="161" t="s">
        <v>62</v>
      </c>
      <c r="U12" s="158" t="str">
        <f t="shared" ref="U12" si="8">IF(AND(S12="Preventivo",T12="Automático"),"50%",IF(AND(S12="Preventivo",T12="Manual"),"40%",IF(AND(S12="Detectivo",T12="Automático"),"40%",IF(AND(S12="Detectivo",T12="Manual"),"30%",IF(AND(S12="Correctivo",T12="Automático"),"35%",IF(AND(S12="Correctivo",T12="Manual"),"25%",""))))))</f>
        <v>25%</v>
      </c>
      <c r="V12" s="161" t="s">
        <v>70</v>
      </c>
      <c r="W12" s="161" t="s">
        <v>64</v>
      </c>
      <c r="X12" s="161" t="s">
        <v>65</v>
      </c>
      <c r="Y12" s="162">
        <f t="shared" ref="Y12:Y14" si="9">IFERROR(IF(R12="Probabilidad",(I12-(+I12*U12)),IF(R12="Impacto",I12,"")),"")</f>
        <v>0</v>
      </c>
      <c r="Z12" s="52" t="str">
        <f t="shared" ref="Z12" si="10">IFERROR(IF(Y12="","",IF(Y12&lt;=0.2,"Muy Baja",IF(Y12&lt;=0.4,"Baja",IF(Y12&lt;=0.6,"Media",IF(Y12&lt;=0.8,"Alta","Muy Alta"))))),"")</f>
        <v>Muy Baja</v>
      </c>
      <c r="AA12" s="158">
        <f t="shared" ref="AA12" si="11">+Y12</f>
        <v>0</v>
      </c>
      <c r="AB12" s="52" t="str">
        <f t="shared" ref="AB12" si="12">IFERROR(IF(AC12="","",IF(AC12&lt;=0.2,"Leve",IF(AC12&lt;=0.4,"Menor",IF(AC12&lt;=0.6,"Moderado",IF(AC12&lt;=0.8,"Mayor","Catastrófico"))))),"")</f>
        <v>Leve</v>
      </c>
      <c r="AC12" s="158">
        <f t="shared" ref="AC12:AC14" si="13">IFERROR(IF(R12="Impacto",(M12-(+M12*U12)),IF(R12="Probabilidad",M12,"")),"")</f>
        <v>0</v>
      </c>
      <c r="AD12" s="52"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61" t="s">
        <v>221</v>
      </c>
      <c r="AF12" s="81"/>
      <c r="AG12" s="81"/>
      <c r="AH12" s="163"/>
      <c r="AI12" s="163"/>
      <c r="AJ12" s="81"/>
      <c r="AK12" s="81"/>
    </row>
    <row r="13" spans="1:37" ht="99" customHeight="1">
      <c r="A13" s="495">
        <v>3</v>
      </c>
      <c r="B13" s="374" t="s">
        <v>71</v>
      </c>
      <c r="C13" s="374" t="s">
        <v>441</v>
      </c>
      <c r="D13" s="374" t="s">
        <v>442</v>
      </c>
      <c r="E13" s="377" t="s">
        <v>443</v>
      </c>
      <c r="F13" s="492" t="s">
        <v>56</v>
      </c>
      <c r="G13" s="492">
        <v>500</v>
      </c>
      <c r="H13" s="379" t="str">
        <f>IF(G13&lt;=0,"",IF(G13&lt;=2,"Muy Baja",IF(G13&lt;=24,"Baja",IF(G13&lt;=500,"Media",IF(G13&lt;=5000,"Alta","Muy Alta")))))</f>
        <v>Media</v>
      </c>
      <c r="I13" s="493">
        <f>IF(H13="","",IF(H13="Muy Baja",0.2,IF(H13="Baja",0.4,IF(H13="Media",0.6,IF(H13="Alta",0.8,IF(H13="Muy Alta",1,))))))</f>
        <v>0.6</v>
      </c>
      <c r="J13" s="494" t="s">
        <v>328</v>
      </c>
      <c r="K13" s="493" t="str">
        <f>IF(NOT(ISERROR(MATCH(J13,'[20]Tabla Impacto'!$B$221:$B$223,0))),'[20]Tabla Impacto'!$F$223&amp;"Por favor no seleccionar los criterios de impacto(Afectación Económica o presupuestal y Pérdida Reputacional)",J13)</f>
        <v xml:space="preserve">     El riesgo afecta la imagen de alguna área de la organización</v>
      </c>
      <c r="L13" s="379" t="str">
        <f>IF(OR(K13='[20]Tabla Impacto'!$C$11,K13='[20]Tabla Impacto'!$D$11),"Leve",IF(OR(K13='[20]Tabla Impacto'!$C$12,K13='[20]Tabla Impacto'!$D$12),"Menor",IF(OR(K13='[20]Tabla Impacto'!$C$13,K13='[20]Tabla Impacto'!$D$13),"Moderado",IF(OR(K13='[20]Tabla Impacto'!$C$14,K13='[20]Tabla Impacto'!$D$14),"Mayor",IF(OR(K13='[20]Tabla Impacto'!$C$15,K13='[20]Tabla Impacto'!$D$15),"Catastrófico","")))))</f>
        <v>Leve</v>
      </c>
      <c r="M13" s="380">
        <f>IF(L13="","",IF(L13="Leve",0.2,IF(L13="Menor",0.4,IF(L13="Moderado",0.6,IF(L13="Mayor",0.8,IF(L13="Catastrófico",1,))))))</f>
        <v>0.2</v>
      </c>
      <c r="N13" s="379"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59">
        <v>1</v>
      </c>
      <c r="P13" s="24" t="s">
        <v>444</v>
      </c>
      <c r="Q13" s="24" t="s">
        <v>445</v>
      </c>
      <c r="R13" s="193" t="str">
        <f t="shared" si="0"/>
        <v>Impacto</v>
      </c>
      <c r="S13" s="194" t="s">
        <v>122</v>
      </c>
      <c r="T13" s="161" t="s">
        <v>62</v>
      </c>
      <c r="U13" s="158" t="str">
        <f>IF(AND(S13="Preventivo",T13="Automático"),"50%",IF(AND(S13="Preventivo",T13="Manual"),"40%",IF(AND(S13="Detectivo",T13="Automático"),"40%",IF(AND(S13="Detectivo",T13="Manual"),"30%",IF(AND(S13="Correctivo",T13="Automático"),"35%",IF(AND(S13="Correctivo",T13="Manual"),"25%",""))))))</f>
        <v>25%</v>
      </c>
      <c r="V13" s="161" t="s">
        <v>63</v>
      </c>
      <c r="W13" s="161" t="s">
        <v>123</v>
      </c>
      <c r="X13" s="161" t="s">
        <v>228</v>
      </c>
      <c r="Y13" s="162">
        <f t="shared" si="9"/>
        <v>0.6</v>
      </c>
      <c r="Z13" s="52" t="str">
        <f>IFERROR(IF(Y13="","",IF(Y13&lt;=0.2,"Muy Baja",IF(Y13&lt;=0.4,"Baja",IF(Y13&lt;=0.6,"Media",IF(Y13&lt;=0.8,"Alta","Muy Alta"))))),"")</f>
        <v>Media</v>
      </c>
      <c r="AA13" s="158">
        <f>+Y13</f>
        <v>0.6</v>
      </c>
      <c r="AB13" s="52" t="str">
        <f>IFERROR(IF(AC13="","",IF(AC13&lt;=0.2,"Leve",IF(AC13&lt;=0.4,"Menor",IF(AC13&lt;=0.6,"Moderado",IF(AC13&lt;=0.8,"Mayor","Catastrófico"))))),"")</f>
        <v>Leve</v>
      </c>
      <c r="AC13" s="158">
        <f t="shared" si="13"/>
        <v>0.15000000000000002</v>
      </c>
      <c r="AD13" s="5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61" t="s">
        <v>221</v>
      </c>
      <c r="AF13" s="81"/>
      <c r="AG13" s="81"/>
      <c r="AH13" s="163"/>
      <c r="AI13" s="163"/>
      <c r="AJ13" s="81"/>
      <c r="AK13" s="81"/>
    </row>
    <row r="14" spans="1:37" ht="52.5" customHeight="1">
      <c r="A14" s="495"/>
      <c r="B14" s="374"/>
      <c r="C14" s="374"/>
      <c r="D14" s="374"/>
      <c r="E14" s="377"/>
      <c r="F14" s="492"/>
      <c r="G14" s="492"/>
      <c r="H14" s="379"/>
      <c r="I14" s="493"/>
      <c r="J14" s="494"/>
      <c r="K14" s="493">
        <f ca="1">IF(NOT(ISERROR(MATCH(J14,_xlfn.ANCHORARRAY(E17),0))),#REF!&amp;"Por favor no seleccionar los criterios de impacto",J14)</f>
        <v>0</v>
      </c>
      <c r="L14" s="379"/>
      <c r="M14" s="380"/>
      <c r="N14" s="379"/>
      <c r="O14" s="159">
        <v>2</v>
      </c>
      <c r="P14" s="164"/>
      <c r="Q14" s="164"/>
      <c r="R14" s="160" t="str">
        <f t="shared" si="0"/>
        <v/>
      </c>
      <c r="S14" s="161"/>
      <c r="T14" s="161"/>
      <c r="U14" s="158" t="str">
        <f t="shared" ref="U14" si="15">IF(AND(S14="Preventivo",T14="Automático"),"50%",IF(AND(S14="Preventivo",T14="Manual"),"40%",IF(AND(S14="Detectivo",T14="Automático"),"40%",IF(AND(S14="Detectivo",T14="Manual"),"30%",IF(AND(S14="Correctivo",T14="Automático"),"35%",IF(AND(S14="Correctivo",T14="Manual"),"25%",""))))))</f>
        <v/>
      </c>
      <c r="V14" s="161"/>
      <c r="W14" s="161"/>
      <c r="X14" s="161"/>
      <c r="Y14" s="162" t="str">
        <f t="shared" si="9"/>
        <v/>
      </c>
      <c r="Z14" s="52" t="str">
        <f t="shared" ref="Z14" si="16">IFERROR(IF(Y14="","",IF(Y14&lt;=0.2,"Muy Baja",IF(Y14&lt;=0.4,"Baja",IF(Y14&lt;=0.6,"Media",IF(Y14&lt;=0.8,"Alta","Muy Alta"))))),"")</f>
        <v/>
      </c>
      <c r="AA14" s="158" t="str">
        <f t="shared" ref="AA14" si="17">+Y14</f>
        <v/>
      </c>
      <c r="AB14" s="52" t="str">
        <f t="shared" ref="AB14" si="18">IFERROR(IF(AC14="","",IF(AC14&lt;=0.2,"Leve",IF(AC14&lt;=0.4,"Menor",IF(AC14&lt;=0.6,"Moderado",IF(AC14&lt;=0.8,"Mayor","Catastrófico"))))),"")</f>
        <v/>
      </c>
      <c r="AC14" s="158" t="str">
        <f t="shared" si="13"/>
        <v/>
      </c>
      <c r="AD14" s="52" t="str">
        <f t="shared" ref="AD14" si="19">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61"/>
      <c r="AF14" s="81"/>
      <c r="AG14" s="81"/>
      <c r="AH14" s="163"/>
      <c r="AI14" s="163"/>
      <c r="AJ14" s="81"/>
      <c r="AK14" s="81"/>
    </row>
    <row r="15" spans="1:37">
      <c r="A15" s="231">
        <v>4</v>
      </c>
      <c r="B15" s="232"/>
      <c r="C15" s="232"/>
      <c r="D15" s="232"/>
      <c r="E15" s="233"/>
      <c r="F15" s="232"/>
      <c r="G15" s="232"/>
      <c r="H15" s="226" t="str">
        <f>IF(G15="","",IF('[19]Mapa final'!G15='[19]Tabla probabilidad'!$C$4,"MUY BAJA",IF('[19]Mapa final'!G15='[19]Tabla probabilidad'!$C$5,"BAJA",IF('[19]Mapa final'!G15='[19]Tabla probabilidad'!$C$6,"MEDIA",IF('[19]Mapa final'!G15='[19]Tabla probabilidad'!$C$7,"ALTA",IF('[19]Mapa final'!G15='[19]Tabla probabilidad'!$C$8,"MUY ALTA"))))))</f>
        <v/>
      </c>
      <c r="I15" s="225" t="str">
        <f t="shared" ref="I15" si="20">IF(H15="","",IF(H15="Muy Baja",0.2,IF(H15="Baja",0.4,IF(H15="Media",0.6,IF(H15="Alta",0.8,IF(H15="Muy Alta",1,))))))</f>
        <v/>
      </c>
      <c r="J15" s="224"/>
      <c r="K15" s="225" t="str">
        <f>IF(J15="","",IF(NOT(ISERROR(MATCH(J15,'[19]Tabla Impacto'!$B$37:$B$39,0))),'[19]Tabla Impacto'!$F$37&amp;"Por favor no seleccionar los criterios de impacto(Afectación Económica o presupuestal y Pérdida Reputacional)",J15))</f>
        <v/>
      </c>
      <c r="L15" s="226" t="str">
        <f>IF(OR(J15='[19]Tabla Impacto'!$F$25,J15='[19]Tabla Impacto'!$F$31),"Leve",IF(OR(J15='[19]Tabla Impacto'!$F$26,J15='[19]Tabla Impacto'!$F$32),"Menor",IF(OR(J15='[19]Tabla Impacto'!$F$27,J15='[19]Tabla Impacto'!$F$33,J15='[19]Tabla Impacto'!$F$37),"Moderado",IF(OR(J15='[19]Tabla Impacto'!$F$28,J15='[19]Tabla Impacto'!$F$34,J15='[19]Tabla Impacto'!$F$38),"Mayor",IF(OR(J15='[19]Tabla Impacto'!$F$29,J15='[19]Tabla Impacto'!$F$35,J15='[19]Tabla Impacto'!$F$39),"Catastrófico","")))))</f>
        <v/>
      </c>
      <c r="M15" s="225" t="str">
        <f t="shared" ref="M15" si="21">IF(L15="","",IF(L15="Leve",0.2,IF(L15="Menor",0.4,IF(L15="Moderado",0.6,IF(L15="Mayor",0.8,IF(L15="Catastrófico",1,))))))</f>
        <v/>
      </c>
      <c r="N15" s="227" t="str">
        <f t="shared" ref="N15" si="22">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0"/>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31"/>
      <c r="B16" s="232"/>
      <c r="C16" s="232"/>
      <c r="D16" s="232"/>
      <c r="E16" s="233"/>
      <c r="F16" s="232"/>
      <c r="G16" s="232"/>
      <c r="H16" s="226"/>
      <c r="I16" s="225"/>
      <c r="J16" s="224"/>
      <c r="K16" s="225">
        <f ca="1">IF(NOT(ISERROR(MATCH(J16,_xlfn.ANCHORARRAY(E19),0))),#REF!&amp;"Por favor no seleccionar los criterios de impacto",J16)</f>
        <v>0</v>
      </c>
      <c r="L16" s="226"/>
      <c r="M16" s="225"/>
      <c r="N16" s="227"/>
      <c r="O16" s="23">
        <v>2</v>
      </c>
      <c r="P16" s="24"/>
      <c r="Q16" s="24"/>
      <c r="R16" s="23" t="str">
        <f t="shared" si="0"/>
        <v/>
      </c>
      <c r="S16" s="12"/>
      <c r="T16" s="12"/>
      <c r="U16" s="25" t="str">
        <f t="shared" ref="U16" si="23">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ref="Z16:Z28" si="24">IFERROR(IF(Y16="","",IF(Y16&lt;=0.2,"Muy Baja",IF(Y16&lt;=0.4,"Baja",IF(Y16&lt;=0.6,"Media",IF(Y16&lt;=0.8,"Alta","Muy Alta"))))),"")</f>
        <v/>
      </c>
      <c r="AA16" s="25" t="str">
        <f t="shared" ref="AA16" si="25">+Y16</f>
        <v/>
      </c>
      <c r="AB16" s="19" t="str">
        <f t="shared" ref="AB16:AB28" si="26">IFERROR(IF(AC16="","",IF(AC16&lt;=0.2,"Leve",IF(AC16&lt;=0.4,"Menor",IF(AC16&lt;=0.6,"Moderado",IF(AC16&lt;=0.8,"Mayor","Catastrófico"))))),"")</f>
        <v/>
      </c>
      <c r="AC16" s="25" t="str">
        <f t="shared" si="6"/>
        <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31">
        <v>5</v>
      </c>
      <c r="B17" s="232"/>
      <c r="C17" s="232"/>
      <c r="D17" s="232"/>
      <c r="E17" s="233"/>
      <c r="F17" s="232"/>
      <c r="G17" s="232"/>
      <c r="H17" s="226" t="str">
        <f>IF(G17="","",IF('[19]Mapa final'!G17='[19]Tabla probabilidad'!$C$4,"MUY BAJA",IF('[19]Mapa final'!G17='[19]Tabla probabilidad'!$C$5,"BAJA",IF('[19]Mapa final'!G17='[19]Tabla probabilidad'!$C$6,"MEDIA",IF('[19]Mapa final'!G17='[19]Tabla probabilidad'!$C$7,"ALTA",IF('[19]Mapa final'!G17='[19]Tabla probabilidad'!$C$8,"MUY ALTA"))))))</f>
        <v/>
      </c>
      <c r="I17" s="225" t="str">
        <f t="shared" ref="I17" si="28">IF(H17="","",IF(H17="Muy Baja",0.2,IF(H17="Baja",0.4,IF(H17="Media",0.6,IF(H17="Alta",0.8,IF(H17="Muy Alta",1,))))))</f>
        <v/>
      </c>
      <c r="J17" s="224"/>
      <c r="K17" s="225" t="str">
        <f>IF(J17="","",IF(NOT(ISERROR(MATCH(J17,'[19]Tabla Impacto'!$B$37:$B$39,0))),'[19]Tabla Impacto'!$F$37&amp;"Por favor no seleccionar los criterios de impacto(Afectación Económica o presupuestal y Pérdida Reputacional)",J17))</f>
        <v/>
      </c>
      <c r="L17" s="226" t="str">
        <f>IF(OR(J17='[19]Tabla Impacto'!$F$25,J17='[19]Tabla Impacto'!$F$31),"Leve",IF(OR(J17='[19]Tabla Impacto'!$F$26,J17='[19]Tabla Impacto'!$F$32),"Menor",IF(OR(J17='[19]Tabla Impacto'!$F$27,J17='[19]Tabla Impacto'!$F$33,J17='[19]Tabla Impacto'!$F$37),"Moderado",IF(OR(J17='[19]Tabla Impacto'!$F$28,J17='[19]Tabla Impacto'!$F$34,J17='[19]Tabla Impacto'!$F$38),"Mayor",IF(OR(J17='[19]Tabla Impacto'!$F$29,J17='[19]Tabla Impacto'!$F$35,J17='[19]Tabla Impacto'!$F$39),"Catastrófico","")))))</f>
        <v/>
      </c>
      <c r="M17" s="225" t="str">
        <f t="shared" ref="M17" si="29">IF(L17="","",IF(L17="Leve",0.2,IF(L17="Menor",0.4,IF(L17="Moderado",0.6,IF(L17="Mayor",0.8,IF(L17="Catastrófico",1,))))))</f>
        <v/>
      </c>
      <c r="N17" s="227"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0"/>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31"/>
      <c r="B18" s="232"/>
      <c r="C18" s="232"/>
      <c r="D18" s="232"/>
      <c r="E18" s="233"/>
      <c r="F18" s="232"/>
      <c r="G18" s="232"/>
      <c r="H18" s="226"/>
      <c r="I18" s="225"/>
      <c r="J18" s="224"/>
      <c r="K18" s="225">
        <f ca="1">IF(NOT(ISERROR(MATCH(J18,_xlfn.ANCHORARRAY(E21),0))),#REF!&amp;"Por favor no seleccionar los criterios de impacto",J18)</f>
        <v>0</v>
      </c>
      <c r="L18" s="226"/>
      <c r="M18" s="225"/>
      <c r="N18" s="227"/>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24"/>
        <v/>
      </c>
      <c r="AA18" s="25" t="str">
        <f t="shared" ref="AA18" si="32">+Y18</f>
        <v/>
      </c>
      <c r="AB18" s="19" t="str">
        <f t="shared" si="26"/>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31">
        <v>6</v>
      </c>
      <c r="B19" s="232"/>
      <c r="C19" s="232"/>
      <c r="D19" s="232"/>
      <c r="E19" s="233"/>
      <c r="F19" s="232"/>
      <c r="G19" s="232"/>
      <c r="H19" s="226" t="str">
        <f>IF(G19="","",IF('[19]Mapa final'!G19='[19]Tabla probabilidad'!$C$4,"MUY BAJA",IF('[19]Mapa final'!G19='[19]Tabla probabilidad'!$C$5,"BAJA",IF('[19]Mapa final'!G19='[19]Tabla probabilidad'!$C$6,"MEDIA",IF('[19]Mapa final'!G19='[19]Tabla probabilidad'!$C$7,"ALTA",IF('[19]Mapa final'!G19='[19]Tabla probabilidad'!$C$8,"MUY ALTA"))))))</f>
        <v/>
      </c>
      <c r="I19" s="225" t="str">
        <f t="shared" ref="I19" si="34">IF(H19="","",IF(H19="Muy Baja",0.2,IF(H19="Baja",0.4,IF(H19="Media",0.6,IF(H19="Alta",0.8,IF(H19="Muy Alta",1,))))))</f>
        <v/>
      </c>
      <c r="J19" s="224"/>
      <c r="K19" s="225" t="str">
        <f>IF(J19="","",IF(NOT(ISERROR(MATCH(J19,'[19]Tabla Impacto'!$B$37:$B$39,0))),'[19]Tabla Impacto'!$F$37&amp;"Por favor no seleccionar los criterios de impacto(Afectación Económica o presupuestal y Pérdida Reputacional)",J19))</f>
        <v/>
      </c>
      <c r="L19" s="226"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
      </c>
      <c r="M19" s="225" t="str">
        <f t="shared" ref="M19" si="35">IF(L19="","",IF(L19="Leve",0.2,IF(L19="Menor",0.4,IF(L19="Moderado",0.6,IF(L19="Mayor",0.8,IF(L19="Catastrófico",1,))))))</f>
        <v/>
      </c>
      <c r="N19" s="227"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31"/>
      <c r="B20" s="232"/>
      <c r="C20" s="232"/>
      <c r="D20" s="232"/>
      <c r="E20" s="233"/>
      <c r="F20" s="232"/>
      <c r="G20" s="232"/>
      <c r="H20" s="226"/>
      <c r="I20" s="225"/>
      <c r="J20" s="224"/>
      <c r="K20" s="225">
        <f ca="1">IF(NOT(ISERROR(MATCH(J20,_xlfn.ANCHORARRAY(E23),0))),#REF!&amp;"Por favor no seleccionar los criterios de impacto",J20)</f>
        <v>0</v>
      </c>
      <c r="L20" s="226"/>
      <c r="M20" s="225"/>
      <c r="N20" s="227"/>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24"/>
        <v/>
      </c>
      <c r="AA20" s="25" t="str">
        <f t="shared" ref="AA20" si="38">+Y20</f>
        <v/>
      </c>
      <c r="AB20" s="19" t="str">
        <f t="shared" si="26"/>
        <v/>
      </c>
      <c r="AC20" s="25" t="str">
        <f t="shared" si="6"/>
        <v/>
      </c>
      <c r="AD20" s="2" t="str">
        <f t="shared" ref="AD20" si="39">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31">
        <v>7</v>
      </c>
      <c r="B21" s="232"/>
      <c r="C21" s="232"/>
      <c r="D21" s="232"/>
      <c r="E21" s="233"/>
      <c r="F21" s="232"/>
      <c r="G21" s="232"/>
      <c r="H21" s="226" t="str">
        <f>IF(G21="","",IF('[19]Mapa final'!G21='[19]Tabla probabilidad'!$C$4,"MUY BAJA",IF('[19]Mapa final'!G21='[19]Tabla probabilidad'!$C$5,"BAJA",IF('[19]Mapa final'!G21='[19]Tabla probabilidad'!$C$6,"MEDIA",IF('[19]Mapa final'!G21='[19]Tabla probabilidad'!$C$7,"ALTA",IF('[19]Mapa final'!G21='[19]Tabla probabilidad'!$C$8,"MUY ALTA"))))))</f>
        <v/>
      </c>
      <c r="I21" s="225" t="str">
        <f t="shared" ref="I21" si="40">IF(H21="","",IF(H21="Muy Baja",0.2,IF(H21="Baja",0.4,IF(H21="Media",0.6,IF(H21="Alta",0.8,IF(H21="Muy Alta",1,))))))</f>
        <v/>
      </c>
      <c r="J21" s="224"/>
      <c r="K21" s="225" t="str">
        <f>IF(J21="","",IF(NOT(ISERROR(MATCH(J21,'[19]Tabla Impacto'!$B$37:$B$39,0))),'[19]Tabla Impacto'!$F$37&amp;"Por favor no seleccionar los criterios de impacto(Afectación Económica o presupuestal y Pérdida Reputacional)",J21))</f>
        <v/>
      </c>
      <c r="L21" s="226" t="str">
        <f>IF(OR(J21='[19]Tabla Impacto'!$F$25,J21='[19]Tabla Impacto'!$F$31),"Leve",IF(OR(J21='[19]Tabla Impacto'!$F$26,J21='[19]Tabla Impacto'!$F$32),"Menor",IF(OR(J21='[19]Tabla Impacto'!$F$27,J21='[19]Tabla Impacto'!$F$33,J21='[19]Tabla Impacto'!$F$37),"Moderado",IF(OR(J21='[19]Tabla Impacto'!$F$28,J21='[19]Tabla Impacto'!$F$34,J21='[19]Tabla Impacto'!$F$38),"Mayor",IF(OR(J21='[19]Tabla Impacto'!$F$29,J21='[19]Tabla Impacto'!$F$35,J21='[19]Tabla Impacto'!$F$39),"Catastrófico","")))))</f>
        <v/>
      </c>
      <c r="M21" s="225" t="str">
        <f t="shared" ref="M21" si="41">IF(L21="","",IF(L21="Leve",0.2,IF(L21="Menor",0.4,IF(L21="Moderado",0.6,IF(L21="Mayor",0.8,IF(L21="Catastrófico",1,))))))</f>
        <v/>
      </c>
      <c r="N21" s="227" t="str">
        <f t="shared" ref="N21" si="42">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31"/>
      <c r="B22" s="232"/>
      <c r="C22" s="232"/>
      <c r="D22" s="232"/>
      <c r="E22" s="233"/>
      <c r="F22" s="232"/>
      <c r="G22" s="232"/>
      <c r="H22" s="226"/>
      <c r="I22" s="225"/>
      <c r="J22" s="224"/>
      <c r="K22" s="225">
        <f ca="1">IF(NOT(ISERROR(MATCH(J22,_xlfn.ANCHORARRAY(E25),0))),#REF!&amp;"Por favor no seleccionar los criterios de impacto",J22)</f>
        <v>0</v>
      </c>
      <c r="L22" s="226"/>
      <c r="M22" s="225"/>
      <c r="N22" s="227"/>
      <c r="O22" s="23">
        <v>2</v>
      </c>
      <c r="P22" s="24"/>
      <c r="Q22" s="24"/>
      <c r="R22" s="23" t="str">
        <f t="shared" si="0"/>
        <v/>
      </c>
      <c r="S22" s="12"/>
      <c r="T22" s="12"/>
      <c r="U22" s="25" t="str">
        <f t="shared" ref="U22" si="43">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24"/>
        <v/>
      </c>
      <c r="AA22" s="25" t="str">
        <f t="shared" ref="AA22" si="44">+Y22</f>
        <v/>
      </c>
      <c r="AB22" s="19" t="str">
        <f t="shared" si="26"/>
        <v/>
      </c>
      <c r="AC22" s="25" t="str">
        <f t="shared" si="6"/>
        <v/>
      </c>
      <c r="AD22" s="2" t="str">
        <f t="shared" ref="AD22" si="4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31">
        <v>8</v>
      </c>
      <c r="B23" s="232"/>
      <c r="C23" s="232"/>
      <c r="D23" s="232"/>
      <c r="E23" s="233"/>
      <c r="F23" s="232"/>
      <c r="G23" s="232"/>
      <c r="H23" s="226" t="str">
        <f>IF(G23="","",IF('[19]Mapa final'!G23='[19]Tabla probabilidad'!$C$4,"MUY BAJA",IF('[19]Mapa final'!G23='[19]Tabla probabilidad'!$C$5,"BAJA",IF('[19]Mapa final'!G23='[19]Tabla probabilidad'!$C$6,"MEDIA",IF('[19]Mapa final'!G23='[19]Tabla probabilidad'!$C$7,"ALTA",IF('[19]Mapa final'!G23='[19]Tabla probabilidad'!$C$8,"MUY ALTA"))))))</f>
        <v/>
      </c>
      <c r="I23" s="225" t="str">
        <f t="shared" ref="I23" si="46">IF(H23="","",IF(H23="Muy Baja",0.2,IF(H23="Baja",0.4,IF(H23="Media",0.6,IF(H23="Alta",0.8,IF(H23="Muy Alta",1,))))))</f>
        <v/>
      </c>
      <c r="J23" s="224"/>
      <c r="K23" s="225" t="str">
        <f>IF(J23="","",IF(NOT(ISERROR(MATCH(J23,'[19]Tabla Impacto'!$B$37:$B$39,0))),'[19]Tabla Impacto'!$F$37&amp;"Por favor no seleccionar los criterios de impacto(Afectación Económica o presupuestal y Pérdida Reputacional)",J23))</f>
        <v/>
      </c>
      <c r="L23" s="226" t="str">
        <f>IF(OR(J23='[19]Tabla Impacto'!$F$25,J23='[19]Tabla Impacto'!$F$31),"Leve",IF(OR(J23='[19]Tabla Impacto'!$F$26,J23='[19]Tabla Impacto'!$F$32),"Menor",IF(OR(J23='[19]Tabla Impacto'!$F$27,J23='[19]Tabla Impacto'!$F$33,J23='[19]Tabla Impacto'!$F$37),"Moderado",IF(OR(J23='[19]Tabla Impacto'!$F$28,J23='[19]Tabla Impacto'!$F$34,J23='[19]Tabla Impacto'!$F$38),"Mayor",IF(OR(J23='[19]Tabla Impacto'!$F$29,J23='[19]Tabla Impacto'!$F$35,J23='[19]Tabla Impacto'!$F$39),"Catastrófico","")))))</f>
        <v/>
      </c>
      <c r="M23" s="225" t="str">
        <f t="shared" ref="M23" si="47">IF(L23="","",IF(L23="Leve",0.2,IF(L23="Menor",0.4,IF(L23="Moderado",0.6,IF(L23="Mayor",0.8,IF(L23="Catastrófico",1,))))))</f>
        <v/>
      </c>
      <c r="N23" s="227" t="str">
        <f t="shared" ref="N23" si="48">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31"/>
      <c r="B24" s="232"/>
      <c r="C24" s="232"/>
      <c r="D24" s="232"/>
      <c r="E24" s="233"/>
      <c r="F24" s="232"/>
      <c r="G24" s="232"/>
      <c r="H24" s="226"/>
      <c r="I24" s="225"/>
      <c r="J24" s="224"/>
      <c r="K24" s="225">
        <f ca="1">IF(NOT(ISERROR(MATCH(J24,_xlfn.ANCHORARRAY(E27),0))),#REF!&amp;"Por favor no seleccionar los criterios de impacto",J24)</f>
        <v>0</v>
      </c>
      <c r="L24" s="226"/>
      <c r="M24" s="225"/>
      <c r="N24" s="227"/>
      <c r="O24" s="23">
        <v>2</v>
      </c>
      <c r="P24" s="24"/>
      <c r="Q24" s="24"/>
      <c r="R24" s="23" t="str">
        <f t="shared" si="0"/>
        <v/>
      </c>
      <c r="S24" s="12"/>
      <c r="T24" s="12"/>
      <c r="U24" s="25" t="str">
        <f t="shared" ref="U24" si="49">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24"/>
        <v/>
      </c>
      <c r="AA24" s="25" t="str">
        <f t="shared" ref="AA24" si="50">+Y24</f>
        <v/>
      </c>
      <c r="AB24" s="19" t="str">
        <f t="shared" si="26"/>
        <v/>
      </c>
      <c r="AC24" s="25" t="str">
        <f t="shared" si="6"/>
        <v/>
      </c>
      <c r="AD24" s="2" t="str">
        <f t="shared" ref="AD24" si="5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31">
        <v>9</v>
      </c>
      <c r="B25" s="232"/>
      <c r="C25" s="232"/>
      <c r="D25" s="232"/>
      <c r="E25" s="233"/>
      <c r="F25" s="232"/>
      <c r="G25" s="232"/>
      <c r="H25" s="226" t="str">
        <f>IF(G25="","",IF('[19]Mapa final'!G25='[19]Tabla probabilidad'!$C$4,"MUY BAJA",IF('[19]Mapa final'!G25='[19]Tabla probabilidad'!$C$5,"BAJA",IF('[19]Mapa final'!G25='[19]Tabla probabilidad'!$C$6,"MEDIA",IF('[19]Mapa final'!G25='[19]Tabla probabilidad'!$C$7,"ALTA",IF('[19]Mapa final'!G25='[19]Tabla probabilidad'!$C$8,"MUY ALTA"))))))</f>
        <v/>
      </c>
      <c r="I25" s="225" t="str">
        <f t="shared" ref="I25" si="52">IF(H25="","",IF(H25="Muy Baja",0.2,IF(H25="Baja",0.4,IF(H25="Media",0.6,IF(H25="Alta",0.8,IF(H25="Muy Alta",1,))))))</f>
        <v/>
      </c>
      <c r="J25" s="224"/>
      <c r="K25" s="225" t="str">
        <f>IF(J25="","",IF(NOT(ISERROR(MATCH(J25,'[19]Tabla Impacto'!$B$37:$B$39,0))),'[19]Tabla Impacto'!$F$37&amp;"Por favor no seleccionar los criterios de impacto(Afectación Económica o presupuestal y Pérdida Reputacional)",J25))</f>
        <v/>
      </c>
      <c r="L25" s="226" t="str">
        <f>IF(OR(J25='[19]Tabla Impacto'!$F$25,J25='[19]Tabla Impacto'!$F$31),"Leve",IF(OR(J25='[19]Tabla Impacto'!$F$26,J25='[19]Tabla Impacto'!$F$32),"Menor",IF(OR(J25='[19]Tabla Impacto'!$F$27,J25='[19]Tabla Impacto'!$F$33,J25='[19]Tabla Impacto'!$F$37),"Moderado",IF(OR(J25='[19]Tabla Impacto'!$F$28,J25='[19]Tabla Impacto'!$F$34,J25='[19]Tabla Impacto'!$F$38),"Mayor",IF(OR(J25='[19]Tabla Impacto'!$F$29,J25='[19]Tabla Impacto'!$F$35,J25='[19]Tabla Impacto'!$F$39),"Catastrófico","")))))</f>
        <v/>
      </c>
      <c r="M25" s="225" t="str">
        <f t="shared" ref="M25" si="53">IF(L25="","",IF(L25="Leve",0.2,IF(L25="Menor",0.4,IF(L25="Moderado",0.6,IF(L25="Mayor",0.8,IF(L25="Catastrófico",1,))))))</f>
        <v/>
      </c>
      <c r="N25" s="227" t="str">
        <f t="shared" ref="N25" si="54">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31"/>
      <c r="B26" s="232"/>
      <c r="C26" s="232"/>
      <c r="D26" s="232"/>
      <c r="E26" s="233"/>
      <c r="F26" s="232"/>
      <c r="G26" s="232"/>
      <c r="H26" s="226"/>
      <c r="I26" s="225"/>
      <c r="J26" s="224"/>
      <c r="K26" s="225">
        <f ca="1">IF(NOT(ISERROR(MATCH(J26,_xlfn.ANCHORARRAY(E29),0))),#REF!&amp;"Por favor no seleccionar los criterios de impacto",J26)</f>
        <v>0</v>
      </c>
      <c r="L26" s="226"/>
      <c r="M26" s="225"/>
      <c r="N26" s="227"/>
      <c r="O26" s="23">
        <v>2</v>
      </c>
      <c r="P26" s="24"/>
      <c r="Q26" s="24"/>
      <c r="R26" s="23" t="str">
        <f t="shared" si="0"/>
        <v/>
      </c>
      <c r="S26" s="12"/>
      <c r="T26" s="12"/>
      <c r="U26" s="25" t="str">
        <f t="shared" ref="U26" si="55">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24"/>
        <v/>
      </c>
      <c r="AA26" s="25" t="str">
        <f t="shared" ref="AA26" si="56">+Y26</f>
        <v/>
      </c>
      <c r="AB26" s="19" t="str">
        <f t="shared" si="26"/>
        <v/>
      </c>
      <c r="AC26" s="25" t="str">
        <f t="shared" si="6"/>
        <v/>
      </c>
      <c r="AD26" s="2" t="str">
        <f t="shared" ref="AD26" si="57">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31">
        <v>10</v>
      </c>
      <c r="B27" s="232"/>
      <c r="C27" s="232"/>
      <c r="D27" s="232"/>
      <c r="E27" s="233"/>
      <c r="F27" s="232"/>
      <c r="G27" s="232"/>
      <c r="H27" s="226" t="str">
        <f>IF(G27="","",IF('[19]Mapa final'!G27='[19]Tabla probabilidad'!$C$4,"MUY BAJA",IF('[19]Mapa final'!G27='[19]Tabla probabilidad'!$C$5,"BAJA",IF('[19]Mapa final'!G27='[19]Tabla probabilidad'!$C$6,"MEDIA",IF('[19]Mapa final'!G27='[19]Tabla probabilidad'!$C$7,"ALTA",IF('[19]Mapa final'!G27='[19]Tabla probabilidad'!$C$8,"MUY ALTA"))))))</f>
        <v/>
      </c>
      <c r="I27" s="225" t="str">
        <f t="shared" ref="I27" si="58">IF(H27="","",IF(H27="Muy Baja",0.2,IF(H27="Baja",0.4,IF(H27="Media",0.6,IF(H27="Alta",0.8,IF(H27="Muy Alta",1,))))))</f>
        <v/>
      </c>
      <c r="J27" s="224"/>
      <c r="K27" s="225" t="str">
        <f>IF(J27="","",IF(NOT(ISERROR(MATCH(J27,'[19]Tabla Impacto'!$B$37:$B$39,0))),'[19]Tabla Impacto'!$F$37&amp;"Por favor no seleccionar los criterios de impacto(Afectación Económica o presupuestal y Pérdida Reputacional)",J27))</f>
        <v/>
      </c>
      <c r="L27" s="226" t="str">
        <f>IF(OR(J27='[19]Tabla Impacto'!$F$25,J27='[19]Tabla Impacto'!$F$31),"Leve",IF(OR(J27='[19]Tabla Impacto'!$F$26,J27='[19]Tabla Impacto'!$F$32),"Menor",IF(OR(J27='[19]Tabla Impacto'!$F$27,J27='[19]Tabla Impacto'!$F$33,J27='[19]Tabla Impacto'!$F$37),"Moderado",IF(OR(J27='[19]Tabla Impacto'!$F$28,J27='[19]Tabla Impacto'!$F$34,J27='[19]Tabla Impacto'!$F$38),"Mayor",IF(OR(J27='[19]Tabla Impacto'!$F$29,J27='[19]Tabla Impacto'!$F$35,J27='[19]Tabla Impacto'!$F$39),"Catastrófico","")))))</f>
        <v/>
      </c>
      <c r="M27" s="225" t="str">
        <f t="shared" ref="M27" si="59">IF(L27="","",IF(L27="Leve",0.2,IF(L27="Menor",0.4,IF(L27="Moderado",0.6,IF(L27="Mayor",0.8,IF(L27="Catastrófico",1,))))))</f>
        <v/>
      </c>
      <c r="N27" s="227" t="str">
        <f t="shared" ref="N27" si="60">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31"/>
      <c r="B28" s="232"/>
      <c r="C28" s="232"/>
      <c r="D28" s="232"/>
      <c r="E28" s="233"/>
      <c r="F28" s="232"/>
      <c r="G28" s="232"/>
      <c r="H28" s="226"/>
      <c r="I28" s="225"/>
      <c r="J28" s="224"/>
      <c r="K28" s="225">
        <f ca="1">IF(NOT(ISERROR(MATCH(J28,_xlfn.ANCHORARRAY(E30),0))),#REF!&amp;"Por favor no seleccionar los criterios de impacto",J28)</f>
        <v>0</v>
      </c>
      <c r="L28" s="226"/>
      <c r="M28" s="225"/>
      <c r="N28" s="227"/>
      <c r="O28" s="23">
        <v>2</v>
      </c>
      <c r="P28" s="24"/>
      <c r="Q28" s="24"/>
      <c r="R28" s="23" t="str">
        <f t="shared" si="0"/>
        <v/>
      </c>
      <c r="S28" s="12"/>
      <c r="T28" s="12"/>
      <c r="U28" s="25" t="str">
        <f t="shared" ref="U28" si="61">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24"/>
        <v/>
      </c>
      <c r="AA28" s="25" t="str">
        <f t="shared" ref="AA28" si="62">+Y28</f>
        <v/>
      </c>
      <c r="AB28" s="19" t="str">
        <f t="shared" si="26"/>
        <v/>
      </c>
      <c r="AC28" s="25" t="str">
        <f t="shared" si="6"/>
        <v/>
      </c>
      <c r="AD28" s="2" t="str">
        <f t="shared" ref="AD28" si="63">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28" t="s">
        <v>97</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30"/>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1" spans="1:37" ht="16.5">
      <c r="A31" s="3"/>
      <c r="B31" s="3"/>
      <c r="C31" s="3"/>
      <c r="D31" s="3"/>
      <c r="E31" s="5"/>
      <c r="F31" s="3"/>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sheetData>
  <mergeCells count="192">
    <mergeCell ref="Q11:Q12"/>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5 H17 H19 H21 H23 H25 H27">
    <cfRule type="cellIs" dxfId="332" priority="57" operator="equal">
      <formula>"Baja"</formula>
    </cfRule>
    <cfRule type="cellIs" dxfId="331" priority="56" operator="equal">
      <formula>"Media"</formula>
    </cfRule>
    <cfRule type="cellIs" dxfId="330" priority="55" operator="equal">
      <formula>"Alta"</formula>
    </cfRule>
    <cfRule type="cellIs" dxfId="329" priority="54" operator="equal">
      <formula>"Muy Alta"</formula>
    </cfRule>
    <cfRule type="cellIs" dxfId="328" priority="58" operator="equal">
      <formula>"Muy Baja"</formula>
    </cfRule>
  </conditionalFormatting>
  <conditionalFormatting sqref="H11 H13">
    <cfRule type="cellIs" dxfId="327" priority="27" operator="equal">
      <formula>"Media"</formula>
    </cfRule>
    <cfRule type="cellIs" dxfId="326" priority="26" operator="equal">
      <formula>"Alta"</formula>
    </cfRule>
    <cfRule type="cellIs" dxfId="325" priority="25" operator="equal">
      <formula>"Muy Alta"</formula>
    </cfRule>
    <cfRule type="cellIs" dxfId="324" priority="29" operator="equal">
      <formula>"Muy Baja"</formula>
    </cfRule>
    <cfRule type="cellIs" dxfId="323" priority="28" operator="equal">
      <formula>"Baja"</formula>
    </cfRule>
  </conditionalFormatting>
  <conditionalFormatting sqref="K9:K28">
    <cfRule type="containsText" dxfId="322" priority="1" operator="containsText" text="❌">
      <formula>NOT(ISERROR(SEARCH("❌",K9)))</formula>
    </cfRule>
  </conditionalFormatting>
  <conditionalFormatting sqref="L9 L15 L17 L19 L21 L23 L25 L27">
    <cfRule type="cellIs" dxfId="321" priority="53" operator="equal">
      <formula>"Leve"</formula>
    </cfRule>
    <cfRule type="cellIs" dxfId="320" priority="52" operator="equal">
      <formula>"Menor"</formula>
    </cfRule>
    <cfRule type="cellIs" dxfId="319" priority="51" operator="equal">
      <formula>"Moderado"</formula>
    </cfRule>
    <cfRule type="cellIs" dxfId="318" priority="50" operator="equal">
      <formula>"Mayor"</formula>
    </cfRule>
    <cfRule type="cellIs" dxfId="317" priority="49" operator="equal">
      <formula>"Catastrófico"</formula>
    </cfRule>
  </conditionalFormatting>
  <conditionalFormatting sqref="L11 L13">
    <cfRule type="cellIs" dxfId="316" priority="22" operator="equal">
      <formula>"Moderado"</formula>
    </cfRule>
    <cfRule type="cellIs" dxfId="315" priority="23" operator="equal">
      <formula>"Menor"</formula>
    </cfRule>
    <cfRule type="cellIs" dxfId="314" priority="24" operator="equal">
      <formula>"Leve"</formula>
    </cfRule>
    <cfRule type="cellIs" dxfId="313" priority="20" operator="equal">
      <formula>"Catastrófico"</formula>
    </cfRule>
    <cfRule type="cellIs" dxfId="312" priority="21" operator="equal">
      <formula>"Mayor"</formula>
    </cfRule>
  </conditionalFormatting>
  <conditionalFormatting sqref="N9 N15 N17 N19 N21 N23 N25 N27">
    <cfRule type="cellIs" dxfId="311" priority="45" operator="equal">
      <formula>"Extremo"</formula>
    </cfRule>
    <cfRule type="cellIs" dxfId="310" priority="46" operator="equal">
      <formula>"Alto"</formula>
    </cfRule>
    <cfRule type="cellIs" dxfId="309" priority="47" operator="equal">
      <formula>"Moderado"</formula>
    </cfRule>
    <cfRule type="cellIs" dxfId="308" priority="48" operator="equal">
      <formula>"Bajo"</formula>
    </cfRule>
  </conditionalFormatting>
  <conditionalFormatting sqref="N11 N13">
    <cfRule type="cellIs" dxfId="307" priority="19" operator="equal">
      <formula>"Bajo"</formula>
    </cfRule>
    <cfRule type="cellIs" dxfId="306" priority="18" operator="equal">
      <formula>"Moderado"</formula>
    </cfRule>
    <cfRule type="cellIs" dxfId="305" priority="17" operator="equal">
      <formula>"Alto"</formula>
    </cfRule>
    <cfRule type="cellIs" dxfId="304" priority="16" operator="equal">
      <formula>"Extremo"</formula>
    </cfRule>
  </conditionalFormatting>
  <conditionalFormatting sqref="Z9:Z28">
    <cfRule type="cellIs" dxfId="303" priority="15" operator="equal">
      <formula>"Muy Baja"</formula>
    </cfRule>
    <cfRule type="cellIs" dxfId="302" priority="14" operator="equal">
      <formula>"Baja"</formula>
    </cfRule>
    <cfRule type="cellIs" dxfId="301" priority="13" operator="equal">
      <formula>"Media"</formula>
    </cfRule>
    <cfRule type="cellIs" dxfId="300" priority="12" operator="equal">
      <formula>"Alta"</formula>
    </cfRule>
    <cfRule type="cellIs" dxfId="299" priority="11" operator="equal">
      <formula>"Muy Alta"</formula>
    </cfRule>
  </conditionalFormatting>
  <conditionalFormatting sqref="AB9:AB28">
    <cfRule type="cellIs" dxfId="298" priority="6" operator="equal">
      <formula>"Catastrófico"</formula>
    </cfRule>
    <cfRule type="cellIs" dxfId="297" priority="10" operator="equal">
      <formula>"Leve"</formula>
    </cfRule>
    <cfRule type="cellIs" dxfId="296" priority="9" operator="equal">
      <formula>"Menor"</formula>
    </cfRule>
    <cfRule type="cellIs" dxfId="295" priority="8" operator="equal">
      <formula>"Moderado"</formula>
    </cfRule>
    <cfRule type="cellIs" dxfId="294" priority="7" operator="equal">
      <formula>"Mayor"</formula>
    </cfRule>
  </conditionalFormatting>
  <conditionalFormatting sqref="AD9:AD28">
    <cfRule type="cellIs" dxfId="293" priority="2" operator="equal">
      <formula>"Extremo"</formula>
    </cfRule>
    <cfRule type="cellIs" dxfId="292" priority="3" operator="equal">
      <formula>"Alto"</formula>
    </cfRule>
    <cfRule type="cellIs" dxfId="291" priority="4" operator="equal">
      <formula>"Moderado"</formula>
    </cfRule>
    <cfRule type="cellIs" dxfId="290" priority="5" operator="equal">
      <formula>"Bajo"</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0506-385E-4AF3-9C9C-F5833870C58E}">
  <sheetPr>
    <tabColor rgb="FFC00000"/>
  </sheetPr>
  <dimension ref="A1:AK14"/>
  <sheetViews>
    <sheetView topLeftCell="A9" zoomScale="90" zoomScaleNormal="90" workbookViewId="0">
      <selection activeCell="F9" sqref="F9:F10"/>
    </sheetView>
  </sheetViews>
  <sheetFormatPr baseColWidth="10" defaultRowHeight="15"/>
  <cols>
    <col min="5" max="5" width="19" customWidth="1"/>
  </cols>
  <sheetData>
    <row r="1" spans="1:37" ht="16.5">
      <c r="A1" s="231"/>
      <c r="B1" s="231"/>
      <c r="C1" s="231"/>
      <c r="D1" s="231"/>
      <c r="E1" s="227" t="s">
        <v>0</v>
      </c>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53" t="s">
        <v>1</v>
      </c>
      <c r="AI1" s="253"/>
      <c r="AJ1" s="253"/>
      <c r="AK1" s="253"/>
    </row>
    <row r="2" spans="1:37" ht="16.5">
      <c r="A2" s="231"/>
      <c r="B2" s="231"/>
      <c r="C2" s="231"/>
      <c r="D2" s="231"/>
      <c r="E2" s="227" t="s">
        <v>2</v>
      </c>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53" t="s">
        <v>3</v>
      </c>
      <c r="AI2" s="253"/>
      <c r="AJ2" s="253"/>
      <c r="AK2" s="253"/>
    </row>
    <row r="3" spans="1:37" ht="16.5">
      <c r="A3" s="231"/>
      <c r="B3" s="231"/>
      <c r="C3" s="231"/>
      <c r="D3" s="231"/>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53" t="s">
        <v>4</v>
      </c>
      <c r="AI3" s="253"/>
      <c r="AJ3" s="253"/>
      <c r="AK3" s="253"/>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54" t="s">
        <v>5</v>
      </c>
      <c r="B5" s="254"/>
      <c r="C5" s="255" t="s">
        <v>331</v>
      </c>
      <c r="D5" s="255"/>
      <c r="E5" s="255"/>
      <c r="F5" s="255"/>
      <c r="G5" s="255"/>
      <c r="H5" s="256" t="s">
        <v>7</v>
      </c>
      <c r="I5" s="256"/>
      <c r="J5" s="255" t="s">
        <v>332</v>
      </c>
      <c r="K5" s="255"/>
      <c r="L5" s="255"/>
      <c r="M5" s="255"/>
      <c r="N5" s="255"/>
      <c r="O5" s="256" t="s">
        <v>9</v>
      </c>
      <c r="P5" s="256"/>
      <c r="Q5" s="499" t="s">
        <v>333</v>
      </c>
      <c r="R5" s="500"/>
      <c r="S5" s="500"/>
      <c r="T5" s="500"/>
      <c r="U5" s="500"/>
      <c r="V5" s="500"/>
      <c r="W5" s="500"/>
      <c r="X5" s="500"/>
      <c r="Y5" s="500"/>
      <c r="Z5" s="500"/>
      <c r="AA5" s="500"/>
      <c r="AB5" s="500"/>
      <c r="AC5" s="500"/>
      <c r="AD5" s="500"/>
      <c r="AE5" s="501"/>
      <c r="AF5" s="151" t="s">
        <v>11</v>
      </c>
      <c r="AG5" s="498" t="s">
        <v>334</v>
      </c>
      <c r="AH5" s="498"/>
      <c r="AI5" s="498"/>
      <c r="AJ5" s="498"/>
      <c r="AK5" s="498"/>
    </row>
    <row r="6" spans="1:37">
      <c r="A6" s="245" t="s">
        <v>13</v>
      </c>
      <c r="B6" s="245"/>
      <c r="C6" s="245"/>
      <c r="D6" s="245"/>
      <c r="E6" s="245"/>
      <c r="F6" s="245"/>
      <c r="G6" s="245"/>
      <c r="H6" s="248" t="s">
        <v>14</v>
      </c>
      <c r="I6" s="248"/>
      <c r="J6" s="248"/>
      <c r="K6" s="248"/>
      <c r="L6" s="248"/>
      <c r="M6" s="248"/>
      <c r="N6" s="248"/>
      <c r="O6" s="261" t="s">
        <v>15</v>
      </c>
      <c r="P6" s="261"/>
      <c r="Q6" s="261"/>
      <c r="R6" s="261"/>
      <c r="S6" s="261"/>
      <c r="T6" s="261"/>
      <c r="U6" s="261"/>
      <c r="V6" s="261"/>
      <c r="W6" s="261"/>
      <c r="X6" s="261"/>
      <c r="Y6" s="262" t="s">
        <v>16</v>
      </c>
      <c r="Z6" s="262"/>
      <c r="AA6" s="262"/>
      <c r="AB6" s="262"/>
      <c r="AC6" s="262"/>
      <c r="AD6" s="262"/>
      <c r="AE6" s="262"/>
      <c r="AF6" s="243" t="s">
        <v>17</v>
      </c>
      <c r="AG6" s="243"/>
      <c r="AH6" s="243"/>
      <c r="AI6" s="243"/>
      <c r="AJ6" s="243"/>
      <c r="AK6" s="243"/>
    </row>
    <row r="7" spans="1:37">
      <c r="A7" s="244" t="s">
        <v>18</v>
      </c>
      <c r="B7" s="245" t="s">
        <v>19</v>
      </c>
      <c r="C7" s="246" t="s">
        <v>20</v>
      </c>
      <c r="D7" s="246" t="s">
        <v>21</v>
      </c>
      <c r="E7" s="246" t="s">
        <v>22</v>
      </c>
      <c r="F7" s="246" t="s">
        <v>23</v>
      </c>
      <c r="G7" s="246" t="s">
        <v>24</v>
      </c>
      <c r="H7" s="247" t="s">
        <v>25</v>
      </c>
      <c r="I7" s="248" t="s">
        <v>26</v>
      </c>
      <c r="J7" s="247" t="s">
        <v>27</v>
      </c>
      <c r="K7" s="247" t="s">
        <v>28</v>
      </c>
      <c r="L7" s="247" t="s">
        <v>29</v>
      </c>
      <c r="M7" s="248" t="s">
        <v>26</v>
      </c>
      <c r="N7" s="247" t="s">
        <v>30</v>
      </c>
      <c r="O7" s="249" t="s">
        <v>31</v>
      </c>
      <c r="P7" s="237" t="s">
        <v>32</v>
      </c>
      <c r="Q7" s="251" t="s">
        <v>33</v>
      </c>
      <c r="R7" s="237" t="s">
        <v>34</v>
      </c>
      <c r="S7" s="237" t="s">
        <v>35</v>
      </c>
      <c r="T7" s="237"/>
      <c r="U7" s="237"/>
      <c r="V7" s="237"/>
      <c r="W7" s="237"/>
      <c r="X7" s="237"/>
      <c r="Y7" s="236" t="s">
        <v>36</v>
      </c>
      <c r="Z7" s="236" t="s">
        <v>37</v>
      </c>
      <c r="AA7" s="236" t="s">
        <v>26</v>
      </c>
      <c r="AB7" s="236" t="s">
        <v>38</v>
      </c>
      <c r="AC7" s="236" t="s">
        <v>26</v>
      </c>
      <c r="AD7" s="236" t="s">
        <v>39</v>
      </c>
      <c r="AE7" s="236" t="s">
        <v>40</v>
      </c>
      <c r="AF7" s="250" t="s">
        <v>17</v>
      </c>
      <c r="AG7" s="250" t="s">
        <v>41</v>
      </c>
      <c r="AH7" s="250" t="s">
        <v>42</v>
      </c>
      <c r="AI7" s="250" t="s">
        <v>43</v>
      </c>
      <c r="AJ7" s="250" t="s">
        <v>44</v>
      </c>
      <c r="AK7" s="250" t="s">
        <v>45</v>
      </c>
    </row>
    <row r="8" spans="1:37" ht="81.75">
      <c r="A8" s="244"/>
      <c r="B8" s="245"/>
      <c r="C8" s="246"/>
      <c r="D8" s="246"/>
      <c r="E8" s="246"/>
      <c r="F8" s="246"/>
      <c r="G8" s="246"/>
      <c r="H8" s="247"/>
      <c r="I8" s="248"/>
      <c r="J8" s="247"/>
      <c r="K8" s="247"/>
      <c r="L8" s="248"/>
      <c r="M8" s="248"/>
      <c r="N8" s="247"/>
      <c r="O8" s="249"/>
      <c r="P8" s="237"/>
      <c r="Q8" s="252"/>
      <c r="R8" s="237"/>
      <c r="S8" s="7" t="s">
        <v>46</v>
      </c>
      <c r="T8" s="7" t="s">
        <v>47</v>
      </c>
      <c r="U8" s="7" t="s">
        <v>48</v>
      </c>
      <c r="V8" s="7" t="s">
        <v>49</v>
      </c>
      <c r="W8" s="7" t="s">
        <v>50</v>
      </c>
      <c r="X8" s="7" t="s">
        <v>51</v>
      </c>
      <c r="Y8" s="236"/>
      <c r="Z8" s="236"/>
      <c r="AA8" s="236"/>
      <c r="AB8" s="236"/>
      <c r="AC8" s="236"/>
      <c r="AD8" s="236"/>
      <c r="AE8" s="236"/>
      <c r="AF8" s="250"/>
      <c r="AG8" s="250"/>
      <c r="AH8" s="250"/>
      <c r="AI8" s="250"/>
      <c r="AJ8" s="250"/>
      <c r="AK8" s="250"/>
    </row>
    <row r="9" spans="1:37" ht="242.25">
      <c r="A9" s="231">
        <v>1</v>
      </c>
      <c r="B9" s="232" t="s">
        <v>52</v>
      </c>
      <c r="C9" s="232" t="s">
        <v>335</v>
      </c>
      <c r="D9" s="232" t="s">
        <v>336</v>
      </c>
      <c r="E9" s="233" t="str">
        <f>CONCATENATE(B9," ",C9," ",D9)</f>
        <v>Económico y Reputacional Documentacion incompleta en el desarrollo de los procesos contractuales Faltantes en la documentación requerida para el desarrollo de los procesos contractuales</v>
      </c>
      <c r="F9" s="232" t="s">
        <v>56</v>
      </c>
      <c r="G9" s="232" t="s">
        <v>57</v>
      </c>
      <c r="H9" s="226" t="str">
        <f>IF(G9="","",IF('[21]Mapa final'!G11='[21]Tabla probabilidad'!$C$4,"MUY BAJA",IF('[21]Mapa final'!G11='[21]Tabla probabilidad'!$C$5,"BAJA",IF('[21]Mapa final'!G11='[21]Tabla probabilidad'!$C$6,"MEDIA",IF('[21]Mapa final'!G11='[21]Tabla probabilidad'!$C$7,"ALTA",IF('[21]Mapa final'!G11='[21]Tabla probabilidad'!$C$8,"MUY ALTA"))))))</f>
        <v>MEDIA</v>
      </c>
      <c r="I9" s="225">
        <f t="shared" ref="I9" si="0">IF(H9="","",IF(H9="Muy Baja",0.2,IF(H9="Baja",0.4,IF(H9="Media",0.6,IF(H9="Alta",0.8,IF(H9="Muy Alta",1,))))))</f>
        <v>0.6</v>
      </c>
      <c r="J9" s="224" t="s">
        <v>145</v>
      </c>
      <c r="K9" s="225" t="str">
        <f>IF(J9="","",IF(NOT(ISERROR(MATCH(J9,'[21]Tabla Impacto'!$B$37:$B$39,0))),'[21]Tabla Impacto'!$F$37&amp;"Por favor no seleccionar los criterios de impacto(Afectación Económica o presupuestal y Pérdida Reputacional)",J9))</f>
        <v xml:space="preserve">     Entre 100 y 500 SMLMV </v>
      </c>
      <c r="L9" s="226" t="str">
        <f>IF(OR(J9='[21]Tabla Impacto'!$F$25,J9='[21]Tabla Impacto'!$F$31),"Leve",IF(OR(J9='[21]Tabla Impacto'!$F$26,J9='[21]Tabla Impacto'!$F$32),"Menor",IF(OR(J9='[21]Tabla Impacto'!$F$27,J9='[21]Tabla Impacto'!$F$33,J9='[21]Tabla Impacto'!$F$37),"Moderado",IF(OR(J9='[21]Tabla Impacto'!$F$28,J9='[21]Tabla Impacto'!$F$34,J9='[21]Tabla Impacto'!$F$38),"Mayor",IF(OR(J9='[21]Tabla Impacto'!$F$29,J9='[21]Tabla Impacto'!$F$35,J9='[21]Tabla Impacto'!$F$39),"Catastrófico","")))))</f>
        <v>Mayor</v>
      </c>
      <c r="M9" s="225">
        <f t="shared" ref="M9" si="1">IF(L9="","",IF(L9="Leve",0.2,IF(L9="Menor",0.4,IF(L9="Moderado",0.6,IF(L9="Mayor",0.8,IF(L9="Catastrófico",1,))))))</f>
        <v>0.8</v>
      </c>
      <c r="N9" s="227"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23">
        <v>1</v>
      </c>
      <c r="P9" s="24" t="s">
        <v>337</v>
      </c>
      <c r="Q9" s="141" t="s">
        <v>338</v>
      </c>
      <c r="R9" s="23" t="str">
        <f t="shared" ref="R9:R12" si="3">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 t="shared" ref="Y9:Y12" si="4">IFERROR(IF(R9="Probabilidad",(I9-(+I9*U9)),IF(R9="Impacto",I9,"")),"")</f>
        <v>0.36</v>
      </c>
      <c r="Z9" s="19" t="str">
        <f>IFERROR(IF(Y9="","",IF(Y9&lt;=0.2,"Muy Baja",IF(Y9&lt;=0.4,"Baja",IF(Y9&lt;=0.6,"Media",IF(Y9&lt;=0.8,"Alta","Muy Alta"))))),"")</f>
        <v>Baja</v>
      </c>
      <c r="AA9" s="25">
        <f>+Y9</f>
        <v>0.36</v>
      </c>
      <c r="AB9" s="19" t="str">
        <f>IFERROR(IF(AC9="","",IF(AC9&lt;=0.2,"Leve",IF(AC9&lt;=0.4,"Menor",IF(AC9&lt;=0.6,"Moderado",IF(AC9&lt;=0.8,"Mayor","Catastrófico"))))),"")</f>
        <v>Mayor</v>
      </c>
      <c r="AC9" s="25">
        <f t="shared" ref="AC9:AC12" si="5">IFERROR(IF(R9="Impacto",(M9-(+M9*U9)),IF(R9="Probabilidad",M9,"")),"")</f>
        <v>0.8</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220</v>
      </c>
      <c r="AF9" s="18"/>
      <c r="AG9" s="12"/>
      <c r="AH9" s="27"/>
      <c r="AI9" s="27"/>
      <c r="AJ9" s="18"/>
      <c r="AK9" s="12"/>
    </row>
    <row r="10" spans="1:37" ht="102">
      <c r="A10" s="231"/>
      <c r="B10" s="232"/>
      <c r="C10" s="232"/>
      <c r="D10" s="232"/>
      <c r="E10" s="233"/>
      <c r="F10" s="232"/>
      <c r="G10" s="232"/>
      <c r="H10" s="226"/>
      <c r="I10" s="225"/>
      <c r="J10" s="224"/>
      <c r="K10" s="225">
        <f ca="1">IF(NOT(ISERROR(MATCH(J10,_xlfn.ANCHORARRAY(E11),0))),#REF!&amp;"Por favor no seleccionar los criterios de impacto",J10)</f>
        <v>0</v>
      </c>
      <c r="L10" s="226"/>
      <c r="M10" s="225"/>
      <c r="N10" s="227"/>
      <c r="O10" s="23">
        <v>2</v>
      </c>
      <c r="P10" s="24" t="s">
        <v>339</v>
      </c>
      <c r="Q10" s="141" t="s">
        <v>340</v>
      </c>
      <c r="R10" s="23" t="str">
        <f t="shared" si="3"/>
        <v>Impacto</v>
      </c>
      <c r="S10" s="12" t="s">
        <v>122</v>
      </c>
      <c r="T10" s="12" t="s">
        <v>62</v>
      </c>
      <c r="U10" s="25" t="str">
        <f t="shared" ref="U10" si="6">IF(AND(S10="Preventivo",T10="Automático"),"50%",IF(AND(S10="Preventivo",T10="Manual"),"40%",IF(AND(S10="Detectivo",T10="Automático"),"40%",IF(AND(S10="Detectivo",T10="Manual"),"30%",IF(AND(S10="Correctivo",T10="Automático"),"35%",IF(AND(S10="Correctivo",T10="Manual"),"25%",""))))))</f>
        <v>25%</v>
      </c>
      <c r="V10" s="12" t="s">
        <v>70</v>
      </c>
      <c r="W10" s="12" t="s">
        <v>123</v>
      </c>
      <c r="X10" s="12" t="s">
        <v>65</v>
      </c>
      <c r="Y10" s="26">
        <f t="shared" si="4"/>
        <v>0</v>
      </c>
      <c r="Z10" s="19" t="str">
        <f t="shared" ref="Z10:Z12" si="7">IFERROR(IF(Y10="","",IF(Y10&lt;=0.2,"Muy Baja",IF(Y10&lt;=0.4,"Baja",IF(Y10&lt;=0.6,"Media",IF(Y10&lt;=0.8,"Alta","Muy Alta"))))),"")</f>
        <v>Muy Baja</v>
      </c>
      <c r="AA10" s="25">
        <f t="shared" ref="AA10" si="8">+Y10</f>
        <v>0</v>
      </c>
      <c r="AB10" s="19" t="str">
        <f t="shared" ref="AB10:AB12"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18"/>
      <c r="AG10" s="12"/>
      <c r="AH10" s="27"/>
      <c r="AI10" s="27"/>
      <c r="AJ10" s="18"/>
      <c r="AK10" s="12"/>
    </row>
    <row r="11" spans="1:37" ht="165.75">
      <c r="A11" s="231">
        <v>2</v>
      </c>
      <c r="B11" s="232" t="s">
        <v>52</v>
      </c>
      <c r="C11" s="232" t="s">
        <v>341</v>
      </c>
      <c r="D11" s="232" t="s">
        <v>342</v>
      </c>
      <c r="E11" s="233" t="str">
        <f t="shared" ref="E11" si="11">CONCATENATE(B11," ",C11," ",D11)</f>
        <v>Económico y Reputacional Profesionales no idoneos para el desarrollo de visitas tecnicas Inconsistencias en la informacion obtenida de  las visitas técnicas de inspeccion</v>
      </c>
      <c r="F11" s="232" t="s">
        <v>56</v>
      </c>
      <c r="G11" s="232" t="s">
        <v>57</v>
      </c>
      <c r="H11" s="226" t="str">
        <f>IF(G11="","",IF('[21]Mapa final'!G15='[21]Tabla probabilidad'!$C$4,"MUY BAJA",IF('[21]Mapa final'!G15='[21]Tabla probabilidad'!$C$5,"BAJA",IF('[21]Mapa final'!G15='[21]Tabla probabilidad'!$C$6,"MEDIA",IF('[21]Mapa final'!G15='[21]Tabla probabilidad'!$C$7,"ALTA",IF('[21]Mapa final'!G15='[21]Tabla probabilidad'!$C$8,"MUY ALTA"))))))</f>
        <v>MEDIA</v>
      </c>
      <c r="I11" s="225">
        <f t="shared" ref="I11" si="12">IF(H11="","",IF(H11="Muy Baja",0.2,IF(H11="Baja",0.4,IF(H11="Media",0.6,IF(H11="Alta",0.8,IF(H11="Muy Alta",1,))))))</f>
        <v>0.6</v>
      </c>
      <c r="J11" s="224" t="s">
        <v>182</v>
      </c>
      <c r="K11" s="225" t="str">
        <f>IF(J11="","",IF(NOT(ISERROR(MATCH(J11,'[21]Tabla Impacto'!$B$37:$B$39,0))),'[21]Tabla Impacto'!$F$37&amp;"Por favor no seleccionar los criterios de impacto(Afectación Económica o presupuestal y Pérdida Reputacional)",J11))</f>
        <v xml:space="preserve">     Entre 50 y 100 SMLMV </v>
      </c>
      <c r="L11" s="226" t="str">
        <f>IF(OR(J11='[21]Tabla Impacto'!$F$25,J11='[21]Tabla Impacto'!$F$31),"Leve",IF(OR(J11='[21]Tabla Impacto'!$F$26,J11='[21]Tabla Impacto'!$F$32),"Menor",IF(OR(J11='[21]Tabla Impacto'!$F$27,J11='[21]Tabla Impacto'!$F$33,J11='[21]Tabla Impacto'!$F$37),"Moderado",IF(OR(J11='[21]Tabla Impacto'!$F$28,J11='[21]Tabla Impacto'!$F$34,J11='[21]Tabla Impacto'!$F$38),"Mayor",IF(OR(J11='[21]Tabla Impacto'!$F$29,J11='[21]Tabla Impacto'!$F$35,J11='[21]Tabla Impacto'!$F$39),"Catastrófico","")))))</f>
        <v>Moderado</v>
      </c>
      <c r="M11" s="225">
        <f t="shared" ref="M11" si="13">IF(L11="","",IF(L11="Leve",0.2,IF(L11="Menor",0.4,IF(L11="Moderado",0.6,IF(L11="Mayor",0.8,IF(L11="Catastrófico",1,))))))</f>
        <v>0.6</v>
      </c>
      <c r="N11" s="227" t="str">
        <f t="shared" ref="N11" si="14">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343</v>
      </c>
      <c r="Q11" s="24" t="s">
        <v>344</v>
      </c>
      <c r="R11" s="23" t="str">
        <f t="shared" si="3"/>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0.36</v>
      </c>
      <c r="Z11" s="19" t="str">
        <f>IFERROR(IF(Y11="","",IF(Y11&lt;=0.2,"Muy Baja",IF(Y11&lt;=0.4,"Baja",IF(Y11&lt;=0.6,"Media",IF(Y11&lt;=0.8,"Alta","Muy Alta"))))),"")</f>
        <v>Baja</v>
      </c>
      <c r="AA11" s="25">
        <f>+Y11</f>
        <v>0.36</v>
      </c>
      <c r="AB11" s="19" t="str">
        <f>IFERROR(IF(AC11="","",IF(AC11&lt;=0.2,"Leve",IF(AC11&lt;=0.4,"Menor",IF(AC11&lt;=0.6,"Moderado",IF(AC11&lt;=0.8,"Mayor","Catastrófico"))))),"")</f>
        <v>Moderado</v>
      </c>
      <c r="AC11" s="25">
        <f t="shared" si="5"/>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220</v>
      </c>
      <c r="AF11" s="18"/>
      <c r="AG11" s="12"/>
      <c r="AH11" s="27"/>
      <c r="AI11" s="27"/>
      <c r="AJ11" s="18"/>
      <c r="AK11" s="12"/>
    </row>
    <row r="12" spans="1:37">
      <c r="A12" s="231"/>
      <c r="B12" s="232"/>
      <c r="C12" s="232"/>
      <c r="D12" s="232"/>
      <c r="E12" s="233"/>
      <c r="F12" s="232"/>
      <c r="G12" s="232"/>
      <c r="H12" s="226"/>
      <c r="I12" s="225"/>
      <c r="J12" s="224"/>
      <c r="K12" s="225">
        <f ca="1">IF(NOT(ISERROR(MATCH(J12,_xlfn.ANCHORARRAY(#REF!),0))),#REF!&amp;"Por favor no seleccionar los criterios de impacto",J12)</f>
        <v>0</v>
      </c>
      <c r="L12" s="226"/>
      <c r="M12" s="225"/>
      <c r="N12" s="227"/>
      <c r="O12" s="23">
        <v>2</v>
      </c>
      <c r="P12" s="24"/>
      <c r="Q12" s="24"/>
      <c r="R12" s="23" t="str">
        <f t="shared" si="3"/>
        <v/>
      </c>
      <c r="S12" s="12"/>
      <c r="T12" s="12"/>
      <c r="U12" s="25" t="str">
        <f t="shared" ref="U12" si="15">IF(AND(S12="Preventivo",T12="Automático"),"50%",IF(AND(S12="Preventivo",T12="Manual"),"40%",IF(AND(S12="Detectivo",T12="Automático"),"40%",IF(AND(S12="Detectivo",T12="Manual"),"30%",IF(AND(S12="Correctivo",T12="Automático"),"35%",IF(AND(S12="Correctivo",T12="Manual"),"25%",""))))))</f>
        <v/>
      </c>
      <c r="V12" s="12"/>
      <c r="W12" s="12"/>
      <c r="X12" s="12"/>
      <c r="Y12" s="26" t="str">
        <f t="shared" si="4"/>
        <v/>
      </c>
      <c r="Z12" s="19" t="str">
        <f t="shared" si="7"/>
        <v/>
      </c>
      <c r="AA12" s="25" t="str">
        <f t="shared" ref="AA12" si="16">+Y12</f>
        <v/>
      </c>
      <c r="AB12" s="19" t="str">
        <f t="shared" si="9"/>
        <v/>
      </c>
      <c r="AC12" s="25" t="str">
        <f t="shared" si="5"/>
        <v/>
      </c>
      <c r="AD12" s="2" t="str">
        <f t="shared" ref="AD12" si="17">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2"/>
      <c r="AF12" s="18"/>
      <c r="AG12" s="12"/>
      <c r="AH12" s="27"/>
      <c r="AI12" s="27"/>
      <c r="AJ12" s="18"/>
      <c r="AK12" s="12"/>
    </row>
    <row r="13" spans="1:37">
      <c r="A13" s="228" t="s">
        <v>97</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30"/>
    </row>
    <row r="14" spans="1:37">
      <c r="A14" s="28"/>
      <c r="B14" s="29" t="s">
        <v>98</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row>
  </sheetData>
  <mergeCells count="79">
    <mergeCell ref="A13:AK13"/>
    <mergeCell ref="M11:M12"/>
    <mergeCell ref="N11:N12"/>
    <mergeCell ref="G11:G12"/>
    <mergeCell ref="H11:H12"/>
    <mergeCell ref="I11:I12"/>
    <mergeCell ref="J11:J12"/>
    <mergeCell ref="K11:K12"/>
    <mergeCell ref="L11:L12"/>
    <mergeCell ref="A11:A12"/>
    <mergeCell ref="B11:B12"/>
    <mergeCell ref="C11:C12"/>
    <mergeCell ref="D11:D12"/>
    <mergeCell ref="E11:E12"/>
    <mergeCell ref="F11:F12"/>
    <mergeCell ref="M9:M10"/>
    <mergeCell ref="N9:N10"/>
    <mergeCell ref="G9:G10"/>
    <mergeCell ref="H9:H10"/>
    <mergeCell ref="I9:I10"/>
    <mergeCell ref="J9:J10"/>
    <mergeCell ref="K9:K10"/>
    <mergeCell ref="L9:L10"/>
    <mergeCell ref="A9:A10"/>
    <mergeCell ref="B9:B10"/>
    <mergeCell ref="C9:C10"/>
    <mergeCell ref="D9:D10"/>
    <mergeCell ref="E9:E10"/>
    <mergeCell ref="F9:F10"/>
    <mergeCell ref="AJ7:AJ8"/>
    <mergeCell ref="AK7:AK8"/>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L7:L8"/>
    <mergeCell ref="A7:A8"/>
    <mergeCell ref="B7:B8"/>
    <mergeCell ref="C7:C8"/>
    <mergeCell ref="D7:D8"/>
    <mergeCell ref="E7:E8"/>
    <mergeCell ref="F7:F8"/>
    <mergeCell ref="G7:G8"/>
    <mergeCell ref="H7:H8"/>
    <mergeCell ref="I7:I8"/>
    <mergeCell ref="J7:J8"/>
    <mergeCell ref="K7:K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Z9:Z12 H11">
    <cfRule type="cellIs" dxfId="289" priority="25" operator="equal">
      <formula>"Muy Alta"</formula>
    </cfRule>
    <cfRule type="cellIs" dxfId="288" priority="26" operator="equal">
      <formula>"Alta"</formula>
    </cfRule>
    <cfRule type="cellIs" dxfId="287" priority="27" operator="equal">
      <formula>"Media"</formula>
    </cfRule>
    <cfRule type="cellIs" dxfId="286" priority="28" operator="equal">
      <formula>"Baja"</formula>
    </cfRule>
    <cfRule type="cellIs" dxfId="285" priority="29" operator="equal">
      <formula>"Muy Baja"</formula>
    </cfRule>
  </conditionalFormatting>
  <conditionalFormatting sqref="K9:K12">
    <cfRule type="containsText" dxfId="284" priority="1" operator="containsText" text="❌">
      <formula>NOT(ISERROR(SEARCH("❌",K9)))</formula>
    </cfRule>
  </conditionalFormatting>
  <conditionalFormatting sqref="L9 AB9:AB12 L11">
    <cfRule type="cellIs" dxfId="283" priority="20" operator="equal">
      <formula>"Catastrófico"</formula>
    </cfRule>
    <cfRule type="cellIs" dxfId="282" priority="21" operator="equal">
      <formula>"Mayor"</formula>
    </cfRule>
    <cfRule type="cellIs" dxfId="281" priority="22" operator="equal">
      <formula>"Moderado"</formula>
    </cfRule>
    <cfRule type="cellIs" dxfId="280" priority="23" operator="equal">
      <formula>"Menor"</formula>
    </cfRule>
    <cfRule type="cellIs" dxfId="279" priority="24" operator="equal">
      <formula>"Leve"</formula>
    </cfRule>
  </conditionalFormatting>
  <conditionalFormatting sqref="N9 AD9:AD12 N11">
    <cfRule type="cellIs" dxfId="278" priority="16" operator="equal">
      <formula>"Extremo"</formula>
    </cfRule>
    <cfRule type="cellIs" dxfId="277" priority="17" operator="equal">
      <formula>"Alto"</formula>
    </cfRule>
    <cfRule type="cellIs" dxfId="276" priority="18" operator="equal">
      <formula>"Moderado"</formula>
    </cfRule>
    <cfRule type="cellIs" dxfId="275" priority="19" operator="equal">
      <formula>"Bajo"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Sec. General</vt:lpstr>
      <vt:lpstr>Sec. Bco. Progreso</vt:lpstr>
      <vt:lpstr>Oficina de Contaduria</vt:lpstr>
      <vt:lpstr>Control I.Gestión</vt:lpstr>
      <vt:lpstr>Control I.Disciplinario</vt:lpstr>
      <vt:lpstr>Infraestructura</vt:lpstr>
      <vt:lpstr>Valoriz y Plusvalia</vt:lpstr>
      <vt:lpstr>Dpto. de Planeacion</vt:lpstr>
      <vt:lpstr>Gestion de Riesgos y Desastres</vt:lpstr>
      <vt:lpstr>Gobierno</vt:lpstr>
      <vt:lpstr>Sec Salud</vt:lpstr>
      <vt:lpstr>Oficina TIC</vt:lpstr>
      <vt:lpstr>Sisben</vt:lpstr>
      <vt:lpstr>Posconflicto</vt:lpstr>
      <vt:lpstr>Tesoreria</vt:lpstr>
      <vt:lpstr>Sec. Cultura y Turismo</vt:lpstr>
      <vt:lpstr>Sec. Equidad de Género</vt:lpstr>
      <vt:lpstr>Sec. Desarrollo Social</vt:lpstr>
      <vt:lpstr>nnn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ASUS</cp:lastModifiedBy>
  <dcterms:created xsi:type="dcterms:W3CDTF">2024-04-25T13:00:00Z</dcterms:created>
  <dcterms:modified xsi:type="dcterms:W3CDTF">2024-07-18T20:56:08Z</dcterms:modified>
</cp:coreProperties>
</file>